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2(к)" sheetId="1" r:id="rId1"/>
    <sheet name="2022(д)" sheetId="2" r:id="rId2"/>
  </sheets>
  <definedNames>
    <definedName name="_xlnm.Print_Titles" localSheetId="1">'2022(д)'!$7:$7</definedName>
    <definedName name="_xlnm.Print_Titles" localSheetId="0">'2022(к)'!$5:$7</definedName>
    <definedName name="_xlnm.Print_Area" localSheetId="1">'2022(д)'!$A$1:$AD$79</definedName>
    <definedName name="_xlnm.Print_Area" localSheetId="0">'2022(к)'!$A$1:$AD$804</definedName>
  </definedNames>
  <calcPr fullCalcOnLoad="1"/>
</workbook>
</file>

<file path=xl/sharedStrings.xml><?xml version="1.0" encoding="utf-8"?>
<sst xmlns="http://schemas.openxmlformats.org/spreadsheetml/2006/main" count="1226" uniqueCount="348">
  <si>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</si>
  <si>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</si>
  <si>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</si>
  <si>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</si>
  <si>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</si>
  <si>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</si>
  <si>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</si>
  <si>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</si>
  <si>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</si>
  <si>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</si>
  <si>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</si>
  <si>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</si>
  <si>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</si>
  <si>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</si>
  <si>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</si>
  <si>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</si>
  <si>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</si>
  <si>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</si>
  <si>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</si>
  <si>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</si>
  <si>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</si>
  <si>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</si>
  <si>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</si>
  <si>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</si>
  <si>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</si>
  <si>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</si>
  <si>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</si>
  <si>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</si>
  <si>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</si>
  <si>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</si>
  <si>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</si>
  <si>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</si>
  <si>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</si>
  <si>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</si>
  <si>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</si>
  <si>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</si>
  <si>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</si>
  <si>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</si>
  <si>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</si>
  <si>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</si>
  <si>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</si>
  <si>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</si>
  <si>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</si>
  <si>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</si>
  <si>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</si>
  <si>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</si>
  <si>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</si>
  <si>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</si>
  <si>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</si>
  <si>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</si>
  <si>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</si>
  <si>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</si>
  <si>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</si>
  <si>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</si>
  <si>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</si>
  <si>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</si>
  <si>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</si>
  <si>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</si>
  <si>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</si>
  <si>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</si>
  <si>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</si>
  <si>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</si>
  <si>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</si>
  <si>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</si>
  <si>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</si>
  <si>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</si>
  <si>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</si>
  <si>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</si>
  <si>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</si>
  <si>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</si>
  <si>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</si>
  <si>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</si>
  <si>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</si>
  <si>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</si>
  <si>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</si>
  <si>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</si>
  <si>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на 01 января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</si>
  <si>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</si>
  <si>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</si>
  <si>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</si>
  <si>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</si>
  <si>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</si>
  <si>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</si>
  <si>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</si>
  <si>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</si>
  <si>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</si>
  <si>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</si>
  <si>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</si>
  <si>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</si>
  <si>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</si>
  <si>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</si>
  <si>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</si>
  <si>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</si>
  <si>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</si>
  <si>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</si>
  <si>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</si>
  <si>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</si>
  <si>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</si>
  <si>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</si>
  <si>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</si>
  <si>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</si>
  <si>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</si>
  <si>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</si>
  <si>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</si>
  <si>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</si>
  <si>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</si>
  <si>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</si>
  <si>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</si>
  <si>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</si>
  <si>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</si>
  <si>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</si>
  <si>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</si>
  <si>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</si>
  <si>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</si>
  <si>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</si>
  <si>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</si>
  <si>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</si>
  <si>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</si>
  <si>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</si>
  <si>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</si>
  <si>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</si>
  <si>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</si>
  <si>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</si>
  <si>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</si>
  <si>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</si>
  <si>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</si>
  <si>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</si>
  <si>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</si>
  <si>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</si>
  <si>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</si>
  <si>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</si>
  <si>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</si>
  <si>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</si>
  <si>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</si>
  <si>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</si>
  <si>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</si>
  <si>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</si>
  <si>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</si>
  <si>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</si>
  <si>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</si>
  <si>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</si>
  <si>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</si>
  <si>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</si>
  <si>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</si>
  <si>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</si>
  <si>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</si>
  <si>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</si>
  <si>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</si>
  <si>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</si>
  <si>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</si>
  <si>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</si>
  <si>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</si>
  <si>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</si>
  <si>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</si>
  <si>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</si>
  <si>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</si>
  <si>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</si>
  <si>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</si>
  <si>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</si>
  <si>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</si>
  <si>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</si>
  <si>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</si>
  <si>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</si>
  <si>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</si>
  <si>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</si>
  <si>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</si>
  <si>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</si>
  <si>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</si>
  <si>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</si>
  <si>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</si>
  <si>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</si>
  <si>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</si>
  <si>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</si>
  <si>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</si>
  <si>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</si>
  <si>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</si>
  <si>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</si>
  <si>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</si>
  <si>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</si>
  <si>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</si>
  <si>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</si>
  <si>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</si>
  <si>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</si>
  <si>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</si>
  <si>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</si>
  <si>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</si>
  <si>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</si>
  <si>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</si>
  <si>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</si>
  <si>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</si>
  <si>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</si>
  <si>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</si>
  <si>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</si>
  <si>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</si>
  <si>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</si>
  <si>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</si>
  <si>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</si>
  <si>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</si>
  <si>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</si>
  <si>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</si>
  <si>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</si>
  <si>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</si>
  <si>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</si>
  <si>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</si>
  <si>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</si>
  <si>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</si>
  <si>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</si>
  <si>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</si>
  <si>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</si>
  <si>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</si>
  <si>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</si>
  <si>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</si>
  <si>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</si>
  <si>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</si>
  <si>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</si>
  <si>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</si>
  <si>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</si>
  <si>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</si>
  <si>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</si>
  <si>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</si>
  <si>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</si>
  <si>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</si>
  <si>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</si>
  <si>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</si>
  <si>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</si>
  <si>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</si>
  <si>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</si>
  <si>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</si>
  <si>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</si>
  <si>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</si>
  <si>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</si>
  <si>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</si>
  <si>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</si>
  <si>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</si>
  <si>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</si>
  <si>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</si>
  <si>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</si>
  <si>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</si>
  <si>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</si>
  <si>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</si>
  <si>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</si>
  <si>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</si>
  <si>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</si>
  <si>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</si>
  <si>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</si>
  <si>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</si>
  <si>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</si>
  <si>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</si>
  <si>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</si>
  <si>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</si>
  <si>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</si>
  <si>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</si>
  <si>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</si>
  <si>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</si>
  <si>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</si>
  <si>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</si>
  <si>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</si>
  <si>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</si>
  <si>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</si>
  <si>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</si>
  <si>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</si>
  <si>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</si>
  <si>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</si>
  <si>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</si>
  <si>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</si>
  <si>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</si>
  <si>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</si>
  <si>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</si>
  <si>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</si>
  <si>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</si>
  <si>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</si>
  <si>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</si>
  <si>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</si>
  <si>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</si>
  <si>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</si>
  <si>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</si>
  <si>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</si>
  <si>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</si>
  <si>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</si>
  <si>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</si>
  <si>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</si>
  <si>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</si>
  <si>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</si>
  <si>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</si>
  <si>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</si>
  <si>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</si>
  <si>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</si>
  <si>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</si>
  <si>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</si>
  <si>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</si>
  <si>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</si>
  <si>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</si>
  <si>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</si>
  <si>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</si>
  <si>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</si>
  <si>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остаток на 01.01.22</t>
  </si>
  <si>
    <t>2.26</t>
  </si>
  <si>
    <t>18.02.2021</t>
  </si>
  <si>
    <t>2.27</t>
  </si>
  <si>
    <t>3.34</t>
  </si>
  <si>
    <r>
      <t xml:space="preserve">Муниципальный контракт  № 01503000024210001170001от </t>
    </r>
    <r>
      <rPr>
        <sz val="10"/>
        <rFont val="Arial Cyr"/>
        <family val="0"/>
      </rPr>
      <t>21.07.2021</t>
    </r>
  </si>
  <si>
    <t>23.07.2021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</si>
  <si>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</si>
  <si>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</si>
  <si>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</si>
  <si>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</si>
  <si>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</si>
  <si>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</si>
  <si>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</si>
  <si>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</si>
  <si>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Сумма
процен-
тов 2022</t>
  </si>
  <si>
    <t>2022 год</t>
  </si>
  <si>
    <t>остаток на 01.01.23</t>
  </si>
  <si>
    <t>2.30</t>
  </si>
  <si>
    <t>21.03.2022</t>
  </si>
  <si>
    <t>На покрытие кассового разрыва бюджета города Боровичи</t>
  </si>
  <si>
    <t>Соглашение № 1 от 18 марта 2022г.</t>
  </si>
  <si>
    <t>Соглашение №02-32/2022-07 с Правительством НО от 25 мая 2022г.</t>
  </si>
  <si>
    <t>2.31</t>
  </si>
  <si>
    <t>30.05.2022</t>
  </si>
  <si>
    <t>31.05.2022</t>
  </si>
  <si>
    <t>Соглашение № 2 от 31 мая 2022г.</t>
  </si>
  <si>
    <t>На покрытие временного кассового разрыва бюджета города Боровичи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</si>
  <si>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</si>
  <si>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</si>
  <si>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</si>
  <si>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</si>
  <si>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</si>
  <si>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</si>
  <si>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</si>
  <si>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</si>
  <si>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</si>
  <si>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</si>
  <si>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</si>
  <si>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</si>
  <si>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</si>
  <si>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</si>
  <si>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№02-32/19-11 с Правительством НО от  06 августа 2019г.</t>
  </si>
  <si>
    <t>Соглашение №02-32/19-20 с Правительством НО от  03 октября 2019г.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</si>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</sst>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0" fontId="9" fillId="35" borderId="18" xfId="0" applyFont="1" applyFill="1" applyBorder="1" applyAlignment="1">
      <alignment horizontal="center" vertical="top"/>
    </xf>
    <xf numFmtId="0" fontId="9" fillId="35" borderId="38" xfId="0" applyFont="1" applyFill="1" applyBorder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6" fillId="35" borderId="13" xfId="0" applyNumberFormat="1" applyFont="1" applyFill="1" applyBorder="1" applyAlignment="1">
      <alignment horizontal="right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181" fontId="9" fillId="35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181" fontId="8" fillId="0" borderId="43" xfId="0" applyNumberFormat="1" applyFont="1" applyBorder="1" applyAlignment="1">
      <alignment horizontal="right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9" fillId="35" borderId="31" xfId="0" applyFont="1" applyFill="1" applyBorder="1" applyAlignment="1" quotePrefix="1">
      <alignment horizontal="center"/>
    </xf>
    <xf numFmtId="0" fontId="9" fillId="35" borderId="31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181" fontId="62" fillId="0" borderId="43" xfId="0" applyNumberFormat="1" applyFont="1" applyBorder="1" applyAlignment="1">
      <alignment horizontal="right"/>
    </xf>
    <xf numFmtId="4" fontId="61" fillId="0" borderId="13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indent="1"/>
    </xf>
    <xf numFmtId="181" fontId="8" fillId="0" borderId="0" xfId="0" applyNumberFormat="1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top"/>
    </xf>
    <xf numFmtId="49" fontId="1" fillId="0" borderId="56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8" fillId="0" borderId="53" xfId="0" applyNumberFormat="1" applyFont="1" applyBorder="1" applyAlignment="1" quotePrefix="1">
      <alignment horizontal="right" vertical="center" wrapText="1"/>
    </xf>
    <xf numFmtId="4" fontId="8" fillId="0" borderId="55" xfId="0" applyNumberFormat="1" applyFont="1" applyBorder="1" applyAlignment="1" quotePrefix="1">
      <alignment horizontal="right" vertical="center" wrapText="1"/>
    </xf>
    <xf numFmtId="181" fontId="21" fillId="0" borderId="53" xfId="0" applyNumberFormat="1" applyFont="1" applyBorder="1" applyAlignment="1">
      <alignment horizontal="right" vertical="center" wrapText="1"/>
    </xf>
    <xf numFmtId="181" fontId="21" fillId="0" borderId="55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center" vertical="center" wrapText="1"/>
    </xf>
    <xf numFmtId="4" fontId="8" fillId="0" borderId="55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8" fillId="0" borderId="62" xfId="0" applyNumberFormat="1" applyFont="1" applyBorder="1" applyAlignment="1" quotePrefix="1">
      <alignment horizontal="center" vertical="center" wrapText="1"/>
    </xf>
    <xf numFmtId="4" fontId="8" fillId="0" borderId="63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8" fillId="0" borderId="53" xfId="0" applyFont="1" applyBorder="1" applyAlignment="1" quotePrefix="1">
      <alignment horizontal="center" vertical="center" wrapText="1"/>
    </xf>
    <xf numFmtId="0" fontId="8" fillId="0" borderId="55" xfId="0" applyFont="1" applyBorder="1" applyAlignment="1" quotePrefix="1">
      <alignment horizontal="center" vertical="center" wrapText="1"/>
    </xf>
    <xf numFmtId="0" fontId="8" fillId="0" borderId="62" xfId="0" applyFont="1" applyBorder="1" applyAlignment="1" quotePrefix="1">
      <alignment horizontal="center" vertical="center" wrapText="1"/>
    </xf>
    <xf numFmtId="0" fontId="8" fillId="0" borderId="6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09"/>
  <sheetViews>
    <sheetView tabSelected="1" view="pageBreakPreview" zoomScale="75" zoomScaleNormal="75" zoomScaleSheetLayoutView="75" zoomScalePageLayoutView="0" workbookViewId="0" topLeftCell="A1">
      <pane xSplit="5" ySplit="8" topLeftCell="F31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5" sqref="V5:W5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4.00390625" style="122" customWidth="1"/>
    <col min="6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5.75390625" style="122" customWidth="1"/>
    <col min="31" max="31" width="12.75390625" style="158" hidden="1" customWidth="1"/>
    <col min="32" max="34" width="12.75390625" style="131" hidden="1" customWidth="1"/>
    <col min="35" max="35" width="12.00390625" style="131" hidden="1" customWidth="1"/>
    <col min="36" max="36" width="14.00390625" style="131" hidden="1" customWidth="1"/>
    <col min="37" max="37" width="13.625" style="131" hidden="1" customWidth="1"/>
    <col min="38" max="38" width="19.875" style="131" hidden="1" customWidth="1"/>
    <col min="39" max="39" width="15.25390625" style="131" hidden="1" customWidth="1"/>
    <col min="40" max="40" width="18.125" style="131" hidden="1" customWidth="1"/>
    <col min="41" max="43" width="15.25390625" style="131" hidden="1" customWidth="1"/>
    <col min="44" max="44" width="15.25390625" style="131" customWidth="1"/>
    <col min="45" max="45" width="13.25390625" style="151" bestFit="1" customWidth="1"/>
    <col min="46" max="46" width="9.25390625" style="0" bestFit="1" customWidth="1"/>
    <col min="47" max="47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95</v>
      </c>
    </row>
    <row r="4" spans="8:22" ht="16.5" thickBot="1">
      <c r="H4" s="3" t="s">
        <v>59</v>
      </c>
      <c r="T4" s="82"/>
      <c r="U4" s="205" t="s">
        <v>76</v>
      </c>
      <c r="V4" s="31" t="s">
        <v>347</v>
      </c>
    </row>
    <row r="5" spans="1:45" ht="13.5" customHeight="1" thickBot="1">
      <c r="A5" s="288" t="s">
        <v>2</v>
      </c>
      <c r="B5" s="290" t="s">
        <v>99</v>
      </c>
      <c r="C5" s="292" t="s">
        <v>18</v>
      </c>
      <c r="D5" s="293"/>
      <c r="E5" s="296" t="s">
        <v>295</v>
      </c>
      <c r="F5" s="298" t="s">
        <v>20</v>
      </c>
      <c r="G5" s="280"/>
      <c r="H5" s="280" t="s">
        <v>19</v>
      </c>
      <c r="I5" s="280"/>
      <c r="J5" s="280" t="s">
        <v>21</v>
      </c>
      <c r="K5" s="280"/>
      <c r="L5" s="284" t="s">
        <v>22</v>
      </c>
      <c r="M5" s="284"/>
      <c r="N5" s="285" t="s">
        <v>23</v>
      </c>
      <c r="O5" s="286"/>
      <c r="P5" s="285" t="s">
        <v>24</v>
      </c>
      <c r="Q5" s="286"/>
      <c r="R5" s="287" t="s">
        <v>25</v>
      </c>
      <c r="S5" s="287"/>
      <c r="T5" s="280" t="s">
        <v>26</v>
      </c>
      <c r="U5" s="280"/>
      <c r="V5" s="280" t="s">
        <v>27</v>
      </c>
      <c r="W5" s="280"/>
      <c r="X5" s="280" t="s">
        <v>28</v>
      </c>
      <c r="Y5" s="280"/>
      <c r="Z5" s="280" t="s">
        <v>29</v>
      </c>
      <c r="AA5" s="280"/>
      <c r="AB5" s="280" t="s">
        <v>30</v>
      </c>
      <c r="AC5" s="281"/>
      <c r="AD5" s="282" t="s">
        <v>205</v>
      </c>
      <c r="AE5" s="274" t="s">
        <v>88</v>
      </c>
      <c r="AF5" s="274" t="s">
        <v>121</v>
      </c>
      <c r="AG5" s="274" t="s">
        <v>122</v>
      </c>
      <c r="AH5" s="274" t="s">
        <v>128</v>
      </c>
      <c r="AI5" s="274" t="s">
        <v>142</v>
      </c>
      <c r="AJ5" s="274" t="s">
        <v>155</v>
      </c>
      <c r="AK5" s="274" t="s">
        <v>171</v>
      </c>
      <c r="AL5" s="274" t="s">
        <v>208</v>
      </c>
      <c r="AM5" s="274" t="s">
        <v>228</v>
      </c>
      <c r="AN5" s="274" t="s">
        <v>254</v>
      </c>
      <c r="AO5" s="274" t="s">
        <v>269</v>
      </c>
      <c r="AP5" s="274" t="s">
        <v>283</v>
      </c>
      <c r="AQ5" s="274" t="s">
        <v>294</v>
      </c>
      <c r="AR5" s="274" t="s">
        <v>310</v>
      </c>
      <c r="AS5" s="276" t="s">
        <v>143</v>
      </c>
    </row>
    <row r="6" spans="1:45" s="1" customFormat="1" ht="37.5" customHeight="1" thickBot="1">
      <c r="A6" s="289"/>
      <c r="B6" s="291"/>
      <c r="C6" s="294"/>
      <c r="D6" s="295"/>
      <c r="E6" s="297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83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7"/>
    </row>
    <row r="7" spans="1:45" s="4" customFormat="1" ht="10.5" customHeight="1" thickBot="1">
      <c r="A7" s="13" t="s">
        <v>4</v>
      </c>
      <c r="B7" s="13" t="s">
        <v>100</v>
      </c>
      <c r="C7" s="278" t="s">
        <v>5</v>
      </c>
      <c r="D7" s="279"/>
      <c r="E7" s="123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41">
        <v>28</v>
      </c>
      <c r="AE7" s="159">
        <v>29</v>
      </c>
      <c r="AF7" s="159">
        <v>29</v>
      </c>
      <c r="AG7" s="159">
        <v>29</v>
      </c>
      <c r="AH7" s="159">
        <v>29</v>
      </c>
      <c r="AI7" s="159">
        <v>29</v>
      </c>
      <c r="AJ7" s="159">
        <v>29</v>
      </c>
      <c r="AK7" s="159">
        <v>29</v>
      </c>
      <c r="AL7" s="159">
        <v>29</v>
      </c>
      <c r="AM7" s="159">
        <v>29</v>
      </c>
      <c r="AN7" s="194"/>
      <c r="AO7" s="194"/>
      <c r="AP7" s="194"/>
      <c r="AQ7" s="194"/>
      <c r="AR7" s="194"/>
      <c r="AS7" s="152"/>
    </row>
    <row r="8" spans="1:45" s="40" customFormat="1" ht="15.75" customHeight="1">
      <c r="A8" s="36">
        <v>1</v>
      </c>
      <c r="B8" s="111"/>
      <c r="C8" s="112" t="s">
        <v>104</v>
      </c>
      <c r="D8" s="37"/>
      <c r="E8" s="135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4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53"/>
    </row>
    <row r="9" spans="1:45" s="40" customFormat="1" ht="39.75" customHeight="1" hidden="1">
      <c r="A9" s="231" t="s">
        <v>31</v>
      </c>
      <c r="B9" s="234" t="s">
        <v>109</v>
      </c>
      <c r="C9" s="23" t="s">
        <v>40</v>
      </c>
      <c r="D9" s="81" t="s">
        <v>107</v>
      </c>
      <c r="E9" s="250">
        <v>0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28">
        <f>E9+F9+H9+J9+L9+N9+P9+R9+T9+V9+X9+Z9+AB9-G9-I9-K9-M9-O9-Q9-S9-U9-W9-Y9-AA9-AC9</f>
        <v>0</v>
      </c>
      <c r="AE9" s="146"/>
      <c r="AF9" s="146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53"/>
    </row>
    <row r="10" spans="1:45" s="40" customFormat="1" ht="15.75" customHeight="1" hidden="1">
      <c r="A10" s="232"/>
      <c r="B10" s="235"/>
      <c r="C10" s="24" t="s">
        <v>0</v>
      </c>
      <c r="D10" s="16" t="s">
        <v>49</v>
      </c>
      <c r="E10" s="251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29"/>
      <c r="AE10" s="146"/>
      <c r="AF10" s="146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53"/>
    </row>
    <row r="11" spans="1:45" s="40" customFormat="1" ht="15.75" customHeight="1" hidden="1">
      <c r="A11" s="232"/>
      <c r="B11" s="235"/>
      <c r="C11" s="25" t="s">
        <v>36</v>
      </c>
      <c r="D11" s="20" t="s">
        <v>42</v>
      </c>
      <c r="E11" s="251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29"/>
      <c r="AE11" s="146"/>
      <c r="AF11" s="146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53"/>
    </row>
    <row r="12" spans="1:45" s="40" customFormat="1" ht="15.75" customHeight="1" hidden="1">
      <c r="A12" s="232"/>
      <c r="B12" s="235"/>
      <c r="C12" s="24" t="s">
        <v>37</v>
      </c>
      <c r="D12" s="64" t="s">
        <v>70</v>
      </c>
      <c r="E12" s="251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29"/>
      <c r="AE12" s="146"/>
      <c r="AF12" s="146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53"/>
    </row>
    <row r="13" spans="1:45" s="40" customFormat="1" ht="15.75" customHeight="1" hidden="1">
      <c r="A13" s="232"/>
      <c r="B13" s="235"/>
      <c r="C13" s="24" t="s">
        <v>38</v>
      </c>
      <c r="D13" s="21">
        <v>705600</v>
      </c>
      <c r="E13" s="251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29"/>
      <c r="AE13" s="146"/>
      <c r="AF13" s="146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53"/>
    </row>
    <row r="14" spans="1:45" s="40" customFormat="1" ht="15.75" customHeight="1" hidden="1">
      <c r="A14" s="232"/>
      <c r="B14" s="235"/>
      <c r="C14" s="25" t="s">
        <v>39</v>
      </c>
      <c r="D14" s="27">
        <v>41633</v>
      </c>
      <c r="E14" s="251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29"/>
      <c r="AE14" s="146"/>
      <c r="AF14" s="146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53"/>
    </row>
    <row r="15" spans="1:45" s="40" customFormat="1" ht="15.75" customHeight="1" hidden="1">
      <c r="A15" s="232"/>
      <c r="B15" s="235"/>
      <c r="C15" s="24" t="s">
        <v>1</v>
      </c>
      <c r="D15" s="59"/>
      <c r="E15" s="251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29"/>
      <c r="AE15" s="146"/>
      <c r="AF15" s="146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53"/>
    </row>
    <row r="16" spans="1:45" s="40" customFormat="1" ht="27.75" customHeight="1" hidden="1" thickBot="1">
      <c r="A16" s="233"/>
      <c r="B16" s="236"/>
      <c r="C16" s="26" t="s">
        <v>41</v>
      </c>
      <c r="D16" s="28" t="s">
        <v>69</v>
      </c>
      <c r="E16" s="252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30"/>
      <c r="AE16" s="146"/>
      <c r="AF16" s="146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53"/>
    </row>
    <row r="17" spans="1:45" s="40" customFormat="1" ht="39" customHeight="1" hidden="1">
      <c r="A17" s="231" t="s">
        <v>43</v>
      </c>
      <c r="B17" s="234" t="s">
        <v>108</v>
      </c>
      <c r="C17" s="23" t="s">
        <v>40</v>
      </c>
      <c r="D17" s="81" t="s">
        <v>72</v>
      </c>
      <c r="E17" s="271">
        <v>0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28">
        <f>E17+F17+H17+J17+L17+N17+P17+R17+T17+V17+X17+Z17+AB17-G17-I17-K17-M17-O17-Q17-S17-U17-W17-Y17-AA17-AC17</f>
        <v>0</v>
      </c>
      <c r="AE17" s="146"/>
      <c r="AF17" s="146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53"/>
    </row>
    <row r="18" spans="1:45" s="40" customFormat="1" ht="15.75" customHeight="1" hidden="1">
      <c r="A18" s="232"/>
      <c r="B18" s="235"/>
      <c r="C18" s="24" t="s">
        <v>0</v>
      </c>
      <c r="D18" s="16" t="s">
        <v>49</v>
      </c>
      <c r="E18" s="272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29"/>
      <c r="AE18" s="146"/>
      <c r="AF18" s="146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53"/>
    </row>
    <row r="19" spans="1:45" s="40" customFormat="1" ht="15.75" customHeight="1" hidden="1">
      <c r="A19" s="232"/>
      <c r="B19" s="235"/>
      <c r="C19" s="25" t="s">
        <v>36</v>
      </c>
      <c r="D19" s="20" t="s">
        <v>42</v>
      </c>
      <c r="E19" s="272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29"/>
      <c r="AE19" s="146"/>
      <c r="AF19" s="146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53"/>
    </row>
    <row r="20" spans="1:45" s="40" customFormat="1" ht="15.75" customHeight="1" hidden="1">
      <c r="A20" s="232"/>
      <c r="B20" s="235"/>
      <c r="C20" s="24" t="s">
        <v>37</v>
      </c>
      <c r="D20" s="64" t="s">
        <v>70</v>
      </c>
      <c r="E20" s="272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29"/>
      <c r="AE20" s="146"/>
      <c r="AF20" s="146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53"/>
    </row>
    <row r="21" spans="1:45" s="40" customFormat="1" ht="15.75" customHeight="1" hidden="1">
      <c r="A21" s="232"/>
      <c r="B21" s="235"/>
      <c r="C21" s="24" t="s">
        <v>38</v>
      </c>
      <c r="D21" s="21">
        <v>988500</v>
      </c>
      <c r="E21" s="272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29"/>
      <c r="AE21" s="146"/>
      <c r="AF21" s="146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53"/>
    </row>
    <row r="22" spans="1:45" s="40" customFormat="1" ht="15.75" customHeight="1" hidden="1">
      <c r="A22" s="232"/>
      <c r="B22" s="235"/>
      <c r="C22" s="25" t="s">
        <v>39</v>
      </c>
      <c r="D22" s="27">
        <v>41998</v>
      </c>
      <c r="E22" s="272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29"/>
      <c r="AE22" s="146"/>
      <c r="AF22" s="146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53"/>
    </row>
    <row r="23" spans="1:45" s="40" customFormat="1" ht="15.75" customHeight="1" hidden="1">
      <c r="A23" s="232"/>
      <c r="B23" s="235"/>
      <c r="C23" s="24" t="s">
        <v>1</v>
      </c>
      <c r="D23" s="59"/>
      <c r="E23" s="272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29"/>
      <c r="AE23" s="146"/>
      <c r="AF23" s="146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53"/>
    </row>
    <row r="24" spans="1:45" s="40" customFormat="1" ht="27.75" customHeight="1" hidden="1" thickBot="1">
      <c r="A24" s="233"/>
      <c r="B24" s="236"/>
      <c r="C24" s="26" t="s">
        <v>41</v>
      </c>
      <c r="D24" s="28" t="s">
        <v>69</v>
      </c>
      <c r="E24" s="273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30"/>
      <c r="AE24" s="146"/>
      <c r="AF24" s="146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53"/>
    </row>
    <row r="25" spans="1:45" s="40" customFormat="1" ht="49.5" customHeight="1" hidden="1">
      <c r="A25" s="231" t="s">
        <v>44</v>
      </c>
      <c r="B25" s="234" t="s">
        <v>110</v>
      </c>
      <c r="C25" s="23" t="s">
        <v>40</v>
      </c>
      <c r="D25" s="15" t="s">
        <v>71</v>
      </c>
      <c r="E25" s="271">
        <v>0</v>
      </c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28">
        <f>E25+F25+H25+J25+L25+N25+P25+R25+T25+V25+X25+Z25+AB25-G25-I25-K25-M25-O25-Q25-S25-U25-W25-Y25-AA25-AC25</f>
        <v>0</v>
      </c>
      <c r="AE25" s="146"/>
      <c r="AF25" s="146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53"/>
    </row>
    <row r="26" spans="1:45" s="40" customFormat="1" ht="15.75" customHeight="1" hidden="1">
      <c r="A26" s="232"/>
      <c r="B26" s="235"/>
      <c r="C26" s="24" t="s">
        <v>0</v>
      </c>
      <c r="D26" s="16" t="s">
        <v>49</v>
      </c>
      <c r="E26" s="272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29"/>
      <c r="AE26" s="146"/>
      <c r="AF26" s="146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53"/>
    </row>
    <row r="27" spans="1:45" s="40" customFormat="1" ht="15.75" customHeight="1" hidden="1">
      <c r="A27" s="232"/>
      <c r="B27" s="235"/>
      <c r="C27" s="25" t="s">
        <v>36</v>
      </c>
      <c r="D27" s="20" t="s">
        <v>42</v>
      </c>
      <c r="E27" s="272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29"/>
      <c r="AE27" s="146"/>
      <c r="AF27" s="146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53"/>
    </row>
    <row r="28" spans="1:45" s="40" customFormat="1" ht="15.75" customHeight="1" hidden="1">
      <c r="A28" s="232"/>
      <c r="B28" s="235"/>
      <c r="C28" s="24" t="s">
        <v>37</v>
      </c>
      <c r="D28" s="64" t="s">
        <v>70</v>
      </c>
      <c r="E28" s="272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29"/>
      <c r="AE28" s="146"/>
      <c r="AF28" s="146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53"/>
    </row>
    <row r="29" spans="1:45" s="40" customFormat="1" ht="15.75" customHeight="1" hidden="1">
      <c r="A29" s="232"/>
      <c r="B29" s="235"/>
      <c r="C29" s="24" t="s">
        <v>38</v>
      </c>
      <c r="D29" s="21">
        <v>800000</v>
      </c>
      <c r="E29" s="272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29"/>
      <c r="AE29" s="146"/>
      <c r="AF29" s="146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53"/>
    </row>
    <row r="30" spans="1:45" s="40" customFormat="1" ht="15.75" customHeight="1" hidden="1">
      <c r="A30" s="232"/>
      <c r="B30" s="235"/>
      <c r="C30" s="25" t="s">
        <v>39</v>
      </c>
      <c r="D30" s="27">
        <v>42363</v>
      </c>
      <c r="E30" s="272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29"/>
      <c r="AE30" s="146"/>
      <c r="AF30" s="146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53"/>
    </row>
    <row r="31" spans="1:45" s="40" customFormat="1" ht="15.75" customHeight="1" hidden="1">
      <c r="A31" s="232"/>
      <c r="B31" s="235"/>
      <c r="C31" s="24" t="s">
        <v>1</v>
      </c>
      <c r="D31" s="59"/>
      <c r="E31" s="272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29"/>
      <c r="AE31" s="146"/>
      <c r="AF31" s="146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53"/>
    </row>
    <row r="32" spans="1:45" s="40" customFormat="1" ht="28.5" customHeight="1" hidden="1" thickBot="1">
      <c r="A32" s="233"/>
      <c r="B32" s="236"/>
      <c r="C32" s="26" t="s">
        <v>41</v>
      </c>
      <c r="D32" s="28" t="s">
        <v>69</v>
      </c>
      <c r="E32" s="273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30"/>
      <c r="AE32" s="146"/>
      <c r="AF32" s="146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53"/>
    </row>
    <row r="33" spans="1:45" s="40" customFormat="1" ht="49.5" customHeight="1" hidden="1">
      <c r="A33" s="231" t="s">
        <v>60</v>
      </c>
      <c r="B33" s="234" t="s">
        <v>111</v>
      </c>
      <c r="C33" s="23" t="s">
        <v>40</v>
      </c>
      <c r="D33" s="15" t="s">
        <v>73</v>
      </c>
      <c r="E33" s="271">
        <v>0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28">
        <f>E33+F33+H33+J33+L33+N33+P33+R33+T33+V33+X33+Z33+AB33-G33-I33-K33-M33-O33-Q33-S33-U33-W33-Y33-AA33-AC33</f>
        <v>0</v>
      </c>
      <c r="AE33" s="146"/>
      <c r="AF33" s="146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53"/>
    </row>
    <row r="34" spans="1:45" s="40" customFormat="1" ht="15.75" customHeight="1" hidden="1">
      <c r="A34" s="232"/>
      <c r="B34" s="235"/>
      <c r="C34" s="24" t="s">
        <v>0</v>
      </c>
      <c r="D34" s="16" t="s">
        <v>49</v>
      </c>
      <c r="E34" s="272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29"/>
      <c r="AE34" s="146"/>
      <c r="AF34" s="146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53"/>
    </row>
    <row r="35" spans="1:45" s="40" customFormat="1" ht="15.75" customHeight="1" hidden="1">
      <c r="A35" s="232"/>
      <c r="B35" s="235"/>
      <c r="C35" s="25" t="s">
        <v>36</v>
      </c>
      <c r="D35" s="20" t="s">
        <v>42</v>
      </c>
      <c r="E35" s="272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29"/>
      <c r="AE35" s="146"/>
      <c r="AF35" s="146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53"/>
    </row>
    <row r="36" spans="1:45" s="40" customFormat="1" ht="15.75" customHeight="1" hidden="1">
      <c r="A36" s="232"/>
      <c r="B36" s="235"/>
      <c r="C36" s="24" t="s">
        <v>37</v>
      </c>
      <c r="D36" s="64" t="s">
        <v>70</v>
      </c>
      <c r="E36" s="272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29"/>
      <c r="AE36" s="146"/>
      <c r="AF36" s="146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53"/>
    </row>
    <row r="37" spans="1:45" s="40" customFormat="1" ht="15.75" customHeight="1" hidden="1">
      <c r="A37" s="232"/>
      <c r="B37" s="235"/>
      <c r="C37" s="24" t="s">
        <v>38</v>
      </c>
      <c r="D37" s="21" t="s">
        <v>75</v>
      </c>
      <c r="E37" s="272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29"/>
      <c r="AE37" s="146"/>
      <c r="AF37" s="146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53"/>
    </row>
    <row r="38" spans="1:45" s="40" customFormat="1" ht="15.75" customHeight="1" hidden="1">
      <c r="A38" s="232"/>
      <c r="B38" s="235"/>
      <c r="C38" s="25" t="s">
        <v>39</v>
      </c>
      <c r="D38" s="27">
        <v>42705</v>
      </c>
      <c r="E38" s="272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29"/>
      <c r="AE38" s="146"/>
      <c r="AF38" s="146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53"/>
    </row>
    <row r="39" spans="1:45" s="40" customFormat="1" ht="15.75" customHeight="1" hidden="1">
      <c r="A39" s="232"/>
      <c r="B39" s="235"/>
      <c r="C39" s="24" t="s">
        <v>1</v>
      </c>
      <c r="D39" s="59"/>
      <c r="E39" s="272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29"/>
      <c r="AE39" s="146"/>
      <c r="AF39" s="146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53"/>
    </row>
    <row r="40" spans="1:45" s="40" customFormat="1" ht="28.5" customHeight="1" hidden="1" thickBot="1">
      <c r="A40" s="233"/>
      <c r="B40" s="236"/>
      <c r="C40" s="26" t="s">
        <v>41</v>
      </c>
      <c r="D40" s="28" t="s">
        <v>69</v>
      </c>
      <c r="E40" s="273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30"/>
      <c r="AE40" s="146"/>
      <c r="AF40" s="146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53"/>
    </row>
    <row r="41" spans="1:45" s="40" customFormat="1" ht="55.5" customHeight="1" hidden="1">
      <c r="A41" s="231" t="s">
        <v>61</v>
      </c>
      <c r="B41" s="234" t="s">
        <v>112</v>
      </c>
      <c r="C41" s="23" t="s">
        <v>40</v>
      </c>
      <c r="D41" s="15" t="s">
        <v>74</v>
      </c>
      <c r="E41" s="271">
        <v>0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28">
        <f>E41+F41+H41+J41+L41+N41+P41+R41+T41+V41+X41+Z41+AB41-G41-I41-K41-M41-O41-Q41-S41-U41-W41-Y41-AA41-AC41</f>
        <v>0</v>
      </c>
      <c r="AE41" s="146"/>
      <c r="AF41" s="146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53"/>
    </row>
    <row r="42" spans="1:45" s="40" customFormat="1" ht="15.75" customHeight="1" hidden="1">
      <c r="A42" s="232"/>
      <c r="B42" s="235"/>
      <c r="C42" s="24" t="s">
        <v>0</v>
      </c>
      <c r="D42" s="16" t="s">
        <v>49</v>
      </c>
      <c r="E42" s="272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29"/>
      <c r="AE42" s="146"/>
      <c r="AF42" s="146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53"/>
    </row>
    <row r="43" spans="1:45" s="40" customFormat="1" ht="15.75" customHeight="1" hidden="1">
      <c r="A43" s="232"/>
      <c r="B43" s="235"/>
      <c r="C43" s="25" t="s">
        <v>36</v>
      </c>
      <c r="D43" s="20" t="s">
        <v>42</v>
      </c>
      <c r="E43" s="272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29"/>
      <c r="AE43" s="146"/>
      <c r="AF43" s="146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53"/>
    </row>
    <row r="44" spans="1:45" s="40" customFormat="1" ht="15.75" customHeight="1" hidden="1">
      <c r="A44" s="232"/>
      <c r="B44" s="235"/>
      <c r="C44" s="24" t="s">
        <v>37</v>
      </c>
      <c r="D44" s="64" t="s">
        <v>70</v>
      </c>
      <c r="E44" s="272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29"/>
      <c r="AE44" s="146"/>
      <c r="AF44" s="146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53"/>
    </row>
    <row r="45" spans="1:45" s="40" customFormat="1" ht="15.75" customHeight="1" hidden="1">
      <c r="A45" s="232"/>
      <c r="B45" s="235"/>
      <c r="C45" s="24" t="s">
        <v>38</v>
      </c>
      <c r="D45" s="21">
        <v>900000</v>
      </c>
      <c r="E45" s="272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29"/>
      <c r="AE45" s="146"/>
      <c r="AF45" s="146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53"/>
    </row>
    <row r="46" spans="1:45" s="40" customFormat="1" ht="15.75" customHeight="1" hidden="1">
      <c r="A46" s="232"/>
      <c r="B46" s="235"/>
      <c r="C46" s="25" t="s">
        <v>39</v>
      </c>
      <c r="D46" s="27">
        <v>43094</v>
      </c>
      <c r="E46" s="272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29"/>
      <c r="AE46" s="146"/>
      <c r="AF46" s="146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53"/>
    </row>
    <row r="47" spans="1:45" s="40" customFormat="1" ht="15.75" customHeight="1" hidden="1">
      <c r="A47" s="232"/>
      <c r="B47" s="235"/>
      <c r="C47" s="24" t="s">
        <v>1</v>
      </c>
      <c r="D47" s="59"/>
      <c r="E47" s="272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29"/>
      <c r="AE47" s="146"/>
      <c r="AF47" s="146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53"/>
    </row>
    <row r="48" spans="1:45" s="40" customFormat="1" ht="27" customHeight="1" hidden="1" thickBot="1">
      <c r="A48" s="233"/>
      <c r="B48" s="236"/>
      <c r="C48" s="26" t="s">
        <v>41</v>
      </c>
      <c r="D48" s="28" t="s">
        <v>69</v>
      </c>
      <c r="E48" s="273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30"/>
      <c r="AE48" s="146"/>
      <c r="AF48" s="146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53"/>
    </row>
    <row r="49" spans="1:45" s="40" customFormat="1" ht="45.75" customHeight="1" hidden="1">
      <c r="A49" s="231" t="s">
        <v>62</v>
      </c>
      <c r="B49" s="234" t="s">
        <v>113</v>
      </c>
      <c r="C49" s="23" t="s">
        <v>40</v>
      </c>
      <c r="D49" s="118" t="s">
        <v>98</v>
      </c>
      <c r="E49" s="271">
        <v>0</v>
      </c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28">
        <f>E49+F49+H49+J49+L49+N49+P49+R49+T49+V49+X49+Z49+AB49-G49-I49-K49-M49-O49-Q49-S49-U49-W49-Y49-AA49-AC49</f>
        <v>0</v>
      </c>
      <c r="AE49" s="146"/>
      <c r="AF49" s="146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53"/>
    </row>
    <row r="50" spans="1:45" s="40" customFormat="1" ht="33.75" customHeight="1" hidden="1">
      <c r="A50" s="232"/>
      <c r="B50" s="235"/>
      <c r="C50" s="24" t="s">
        <v>0</v>
      </c>
      <c r="D50" s="83" t="s">
        <v>97</v>
      </c>
      <c r="E50" s="272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29"/>
      <c r="AE50" s="146"/>
      <c r="AF50" s="146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53"/>
    </row>
    <row r="51" spans="1:45" s="40" customFormat="1" ht="15.75" customHeight="1" hidden="1">
      <c r="A51" s="232"/>
      <c r="B51" s="235"/>
      <c r="C51" s="25" t="s">
        <v>36</v>
      </c>
      <c r="D51" s="20" t="s">
        <v>42</v>
      </c>
      <c r="E51" s="272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29"/>
      <c r="AE51" s="146"/>
      <c r="AF51" s="146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53"/>
    </row>
    <row r="52" spans="1:45" s="40" customFormat="1" ht="15.75" customHeight="1" hidden="1">
      <c r="A52" s="232"/>
      <c r="B52" s="235"/>
      <c r="C52" s="24" t="s">
        <v>37</v>
      </c>
      <c r="D52" s="64" t="s">
        <v>96</v>
      </c>
      <c r="E52" s="272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29"/>
      <c r="AE52" s="146"/>
      <c r="AF52" s="146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53"/>
    </row>
    <row r="53" spans="1:45" s="40" customFormat="1" ht="15.75" customHeight="1" hidden="1">
      <c r="A53" s="232"/>
      <c r="B53" s="235"/>
      <c r="C53" s="24" t="s">
        <v>38</v>
      </c>
      <c r="D53" s="21">
        <v>3642203</v>
      </c>
      <c r="E53" s="272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29"/>
      <c r="AE53" s="146"/>
      <c r="AF53" s="146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53"/>
    </row>
    <row r="54" spans="1:45" s="40" customFormat="1" ht="15.75" customHeight="1" hidden="1">
      <c r="A54" s="232"/>
      <c r="B54" s="235"/>
      <c r="C54" s="25" t="s">
        <v>39</v>
      </c>
      <c r="D54" s="27">
        <v>40848</v>
      </c>
      <c r="E54" s="272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29"/>
      <c r="AE54" s="146"/>
      <c r="AF54" s="146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53"/>
    </row>
    <row r="55" spans="1:45" s="40" customFormat="1" ht="15.75" customHeight="1" hidden="1">
      <c r="A55" s="232"/>
      <c r="B55" s="235"/>
      <c r="C55" s="24" t="s">
        <v>1</v>
      </c>
      <c r="D55" s="59">
        <v>0.19</v>
      </c>
      <c r="E55" s="272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29"/>
      <c r="AE55" s="146"/>
      <c r="AF55" s="146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53"/>
    </row>
    <row r="56" spans="1:45" s="40" customFormat="1" ht="28.5" customHeight="1" hidden="1" thickBot="1">
      <c r="A56" s="233"/>
      <c r="B56" s="236"/>
      <c r="C56" s="26" t="s">
        <v>41</v>
      </c>
      <c r="D56" s="28" t="s">
        <v>90</v>
      </c>
      <c r="E56" s="273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30"/>
      <c r="AE56" s="146"/>
      <c r="AF56" s="146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53"/>
    </row>
    <row r="57" spans="1:45" s="40" customFormat="1" ht="15.75" customHeight="1" hidden="1">
      <c r="A57" s="231"/>
      <c r="B57" s="270"/>
      <c r="C57" s="23" t="s">
        <v>40</v>
      </c>
      <c r="D57" s="86"/>
      <c r="E57" s="271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28">
        <f>E57+F57+H57+J57+L57+N57+P57+R57+T57+V57+X57+Z57+AB57-G57-I57-K57-M57-O57-Q57-S57-U57-W57-Y57-AA57-AC57</f>
        <v>0</v>
      </c>
      <c r="AE57" s="146"/>
      <c r="AF57" s="146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53"/>
    </row>
    <row r="58" spans="1:45" s="40" customFormat="1" ht="15.75" customHeight="1" hidden="1">
      <c r="A58" s="232"/>
      <c r="B58" s="235"/>
      <c r="C58" s="24" t="s">
        <v>0</v>
      </c>
      <c r="D58" s="83"/>
      <c r="E58" s="272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29"/>
      <c r="AE58" s="146"/>
      <c r="AF58" s="146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53"/>
    </row>
    <row r="59" spans="1:45" s="40" customFormat="1" ht="15.75" customHeight="1" hidden="1">
      <c r="A59" s="232"/>
      <c r="B59" s="235"/>
      <c r="C59" s="25" t="s">
        <v>36</v>
      </c>
      <c r="D59" s="20"/>
      <c r="E59" s="272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29"/>
      <c r="AE59" s="146"/>
      <c r="AF59" s="146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53"/>
    </row>
    <row r="60" spans="1:45" s="40" customFormat="1" ht="15.75" customHeight="1" hidden="1">
      <c r="A60" s="232"/>
      <c r="B60" s="235"/>
      <c r="C60" s="24" t="s">
        <v>37</v>
      </c>
      <c r="D60" s="64"/>
      <c r="E60" s="272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29"/>
      <c r="AE60" s="146"/>
      <c r="AF60" s="146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53"/>
    </row>
    <row r="61" spans="1:45" s="40" customFormat="1" ht="15.75" customHeight="1" hidden="1">
      <c r="A61" s="232"/>
      <c r="B61" s="235"/>
      <c r="C61" s="24" t="s">
        <v>38</v>
      </c>
      <c r="D61" s="21"/>
      <c r="E61" s="272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29"/>
      <c r="AE61" s="146"/>
      <c r="AF61" s="146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53"/>
    </row>
    <row r="62" spans="1:45" s="40" customFormat="1" ht="15.75" customHeight="1" hidden="1">
      <c r="A62" s="232"/>
      <c r="B62" s="235"/>
      <c r="C62" s="25" t="s">
        <v>39</v>
      </c>
      <c r="D62" s="27"/>
      <c r="E62" s="272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29"/>
      <c r="AE62" s="146"/>
      <c r="AF62" s="146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53"/>
    </row>
    <row r="63" spans="1:45" s="40" customFormat="1" ht="15.75" customHeight="1" hidden="1">
      <c r="A63" s="232"/>
      <c r="B63" s="235"/>
      <c r="C63" s="24" t="s">
        <v>1</v>
      </c>
      <c r="D63" s="59"/>
      <c r="E63" s="272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29"/>
      <c r="AE63" s="146"/>
      <c r="AF63" s="146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53"/>
    </row>
    <row r="64" spans="1:45" s="40" customFormat="1" ht="15.75" customHeight="1" hidden="1" thickBot="1">
      <c r="A64" s="233"/>
      <c r="B64" s="236"/>
      <c r="C64" s="26" t="s">
        <v>41</v>
      </c>
      <c r="D64" s="28"/>
      <c r="E64" s="273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30"/>
      <c r="AE64" s="146"/>
      <c r="AF64" s="146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53"/>
    </row>
    <row r="65" spans="1:45" s="40" customFormat="1" ht="6" customHeight="1">
      <c r="A65" s="29"/>
      <c r="B65" s="113"/>
      <c r="C65" s="114"/>
      <c r="D65" s="115"/>
      <c r="E65" s="13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5"/>
      <c r="AE65" s="146"/>
      <c r="AF65" s="146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53"/>
    </row>
    <row r="66" spans="1:45" s="34" customFormat="1" ht="14.25">
      <c r="A66" s="33"/>
      <c r="B66" s="94"/>
      <c r="C66" s="269" t="s">
        <v>55</v>
      </c>
      <c r="D66" s="265"/>
      <c r="E66" s="126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6">
        <f aca="true" t="shared" si="0" ref="AD66:AK66">SUM(AD9:AD65)</f>
        <v>0</v>
      </c>
      <c r="AE66" s="126">
        <f t="shared" si="0"/>
        <v>0</v>
      </c>
      <c r="AF66" s="126">
        <f t="shared" si="0"/>
        <v>0</v>
      </c>
      <c r="AG66" s="126">
        <f t="shared" si="0"/>
        <v>0</v>
      </c>
      <c r="AH66" s="126">
        <f t="shared" si="0"/>
        <v>0</v>
      </c>
      <c r="AI66" s="126">
        <f t="shared" si="0"/>
        <v>0</v>
      </c>
      <c r="AJ66" s="126">
        <f t="shared" si="0"/>
        <v>0</v>
      </c>
      <c r="AK66" s="126">
        <f t="shared" si="0"/>
        <v>0</v>
      </c>
      <c r="AL66" s="126"/>
      <c r="AM66" s="126"/>
      <c r="AN66" s="195"/>
      <c r="AO66" s="195"/>
      <c r="AP66" s="195"/>
      <c r="AQ66" s="195"/>
      <c r="AR66" s="195"/>
      <c r="AS66" s="154"/>
    </row>
    <row r="67" spans="1:45" s="54" customFormat="1" ht="3.75" customHeight="1" thickBot="1">
      <c r="A67" s="55"/>
      <c r="B67" s="95"/>
      <c r="C67" s="56"/>
      <c r="D67" s="57"/>
      <c r="E67" s="12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7"/>
      <c r="AE67" s="161"/>
      <c r="AF67" s="161"/>
      <c r="AG67" s="161"/>
      <c r="AH67" s="161"/>
      <c r="AI67" s="161"/>
      <c r="AJ67" s="161"/>
      <c r="AK67" s="161"/>
      <c r="AL67" s="161"/>
      <c r="AM67" s="161"/>
      <c r="AN67" s="196"/>
      <c r="AO67" s="196"/>
      <c r="AP67" s="196"/>
      <c r="AQ67" s="196"/>
      <c r="AR67" s="196"/>
      <c r="AS67" s="155"/>
    </row>
    <row r="68" spans="1:45" s="43" customFormat="1" ht="15.75" thickBot="1">
      <c r="A68" s="41">
        <v>2</v>
      </c>
      <c r="B68" s="111"/>
      <c r="C68" s="42" t="s">
        <v>105</v>
      </c>
      <c r="D68" s="42"/>
      <c r="E68" s="128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8"/>
      <c r="AE68" s="162"/>
      <c r="AF68" s="162"/>
      <c r="AG68" s="162"/>
      <c r="AH68" s="162"/>
      <c r="AI68" s="162"/>
      <c r="AJ68" s="162"/>
      <c r="AK68" s="162"/>
      <c r="AL68" s="162"/>
      <c r="AM68" s="162"/>
      <c r="AN68" s="197"/>
      <c r="AO68" s="197"/>
      <c r="AP68" s="197"/>
      <c r="AQ68" s="197"/>
      <c r="AR68" s="197"/>
      <c r="AS68" s="156"/>
    </row>
    <row r="69" spans="1:44" ht="26.25" customHeight="1" hidden="1">
      <c r="A69" s="231" t="s">
        <v>35</v>
      </c>
      <c r="B69" s="234" t="s">
        <v>115</v>
      </c>
      <c r="C69" s="23" t="s">
        <v>40</v>
      </c>
      <c r="D69" s="81" t="s">
        <v>77</v>
      </c>
      <c r="E69" s="237">
        <v>0</v>
      </c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55">
        <f>E69+F69+H69+J69+L69+N69+P69+R69+T69+V69+X69+Z69+AB69-G69-I69-K69-M69-O69-Q69-S69-U69-W69-Y69-AA69-AC69</f>
        <v>0</v>
      </c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147"/>
      <c r="AP69" s="147"/>
      <c r="AQ69" s="147"/>
      <c r="AR69" s="147"/>
    </row>
    <row r="70" spans="1:44" ht="12.75" customHeight="1" hidden="1">
      <c r="A70" s="232"/>
      <c r="B70" s="235"/>
      <c r="C70" s="24" t="s">
        <v>0</v>
      </c>
      <c r="D70" s="16" t="s">
        <v>49</v>
      </c>
      <c r="E70" s="238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56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147"/>
      <c r="AP70" s="147"/>
      <c r="AQ70" s="147"/>
      <c r="AR70" s="147"/>
    </row>
    <row r="71" spans="1:44" ht="12.75" customHeight="1" hidden="1">
      <c r="A71" s="232"/>
      <c r="B71" s="235"/>
      <c r="C71" s="25" t="s">
        <v>36</v>
      </c>
      <c r="D71" s="20" t="s">
        <v>42</v>
      </c>
      <c r="E71" s="238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56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147"/>
      <c r="AP71" s="147"/>
      <c r="AQ71" s="147"/>
      <c r="AR71" s="147"/>
    </row>
    <row r="72" spans="1:44" ht="12.75" customHeight="1" hidden="1">
      <c r="A72" s="232"/>
      <c r="B72" s="235"/>
      <c r="C72" s="24" t="s">
        <v>37</v>
      </c>
      <c r="D72" s="17"/>
      <c r="E72" s="238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56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147"/>
      <c r="AP72" s="147"/>
      <c r="AQ72" s="147"/>
      <c r="AR72" s="147"/>
    </row>
    <row r="73" spans="1:44" ht="12.75" customHeight="1" hidden="1">
      <c r="A73" s="232"/>
      <c r="B73" s="235"/>
      <c r="C73" s="24" t="s">
        <v>38</v>
      </c>
      <c r="D73" s="21">
        <v>6200000</v>
      </c>
      <c r="E73" s="238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56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147"/>
      <c r="AP73" s="147"/>
      <c r="AQ73" s="147"/>
      <c r="AR73" s="147"/>
    </row>
    <row r="74" spans="1:44" ht="12.75" customHeight="1" hidden="1">
      <c r="A74" s="232"/>
      <c r="B74" s="235"/>
      <c r="C74" s="25" t="s">
        <v>39</v>
      </c>
      <c r="D74" s="27">
        <v>40908</v>
      </c>
      <c r="E74" s="238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56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147"/>
      <c r="AP74" s="147"/>
      <c r="AQ74" s="147"/>
      <c r="AR74" s="147"/>
    </row>
    <row r="75" spans="1:44" ht="12.75" customHeight="1" hidden="1">
      <c r="A75" s="232"/>
      <c r="B75" s="235"/>
      <c r="C75" s="24" t="s">
        <v>1</v>
      </c>
      <c r="D75" s="59"/>
      <c r="E75" s="238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56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147"/>
      <c r="AP75" s="147"/>
      <c r="AQ75" s="147"/>
      <c r="AR75" s="147"/>
    </row>
    <row r="76" spans="1:44" ht="29.25" customHeight="1" hidden="1" thickBot="1">
      <c r="A76" s="233"/>
      <c r="B76" s="236"/>
      <c r="C76" s="26" t="s">
        <v>41</v>
      </c>
      <c r="D76" s="22" t="s">
        <v>53</v>
      </c>
      <c r="E76" s="239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57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147"/>
      <c r="AP76" s="147"/>
      <c r="AQ76" s="147"/>
      <c r="AR76" s="147"/>
    </row>
    <row r="77" spans="1:44" ht="24" customHeight="1" hidden="1">
      <c r="A77" s="231" t="s">
        <v>48</v>
      </c>
      <c r="B77" s="234" t="s">
        <v>116</v>
      </c>
      <c r="C77" s="23" t="s">
        <v>40</v>
      </c>
      <c r="D77" s="81" t="s">
        <v>84</v>
      </c>
      <c r="E77" s="237">
        <v>0</v>
      </c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55">
        <f>E77+F77+H77+J77+L77+N77+P77+R77+T77+V77+X77+Z77+AB77-G77-I77-K77-M77-O77-Q77-S77-U77-W77-Y77-AA77-AC77</f>
        <v>0</v>
      </c>
      <c r="AE77" s="224">
        <v>13869.86</v>
      </c>
      <c r="AF77" s="224">
        <v>337500</v>
      </c>
      <c r="AG77" s="224">
        <v>337500</v>
      </c>
      <c r="AH77" s="224">
        <f>272950.82</f>
        <v>272950.82</v>
      </c>
      <c r="AI77" s="224"/>
      <c r="AJ77" s="224"/>
      <c r="AK77" s="224"/>
      <c r="AL77" s="224"/>
      <c r="AM77" s="224"/>
      <c r="AN77" s="224"/>
      <c r="AO77" s="147"/>
      <c r="AP77" s="147"/>
      <c r="AQ77" s="147"/>
      <c r="AR77" s="147"/>
    </row>
    <row r="78" spans="1:44" ht="13.5" customHeight="1" hidden="1">
      <c r="A78" s="232"/>
      <c r="B78" s="235"/>
      <c r="C78" s="24" t="s">
        <v>0</v>
      </c>
      <c r="D78" s="16" t="s">
        <v>49</v>
      </c>
      <c r="E78" s="238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56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147"/>
      <c r="AP78" s="147"/>
      <c r="AQ78" s="147"/>
      <c r="AR78" s="147"/>
    </row>
    <row r="79" spans="1:44" ht="13.5" customHeight="1" hidden="1">
      <c r="A79" s="232"/>
      <c r="B79" s="235"/>
      <c r="C79" s="25" t="s">
        <v>36</v>
      </c>
      <c r="D79" s="20" t="s">
        <v>42</v>
      </c>
      <c r="E79" s="238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56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147"/>
      <c r="AP79" s="147"/>
      <c r="AQ79" s="147"/>
      <c r="AR79" s="147"/>
    </row>
    <row r="80" spans="1:44" ht="13.5" customHeight="1" hidden="1">
      <c r="A80" s="232"/>
      <c r="B80" s="235"/>
      <c r="C80" s="24" t="s">
        <v>37</v>
      </c>
      <c r="D80" s="17"/>
      <c r="E80" s="238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56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147"/>
      <c r="AP80" s="147"/>
      <c r="AQ80" s="147"/>
      <c r="AR80" s="147"/>
    </row>
    <row r="81" spans="1:44" ht="13.5" customHeight="1" hidden="1">
      <c r="A81" s="232"/>
      <c r="B81" s="235"/>
      <c r="C81" s="24" t="s">
        <v>38</v>
      </c>
      <c r="D81" s="21">
        <v>15000000</v>
      </c>
      <c r="E81" s="238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56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147"/>
      <c r="AP81" s="147"/>
      <c r="AQ81" s="147"/>
      <c r="AR81" s="147"/>
    </row>
    <row r="82" spans="1:44" ht="13.5" customHeight="1" hidden="1">
      <c r="A82" s="232"/>
      <c r="B82" s="235"/>
      <c r="C82" s="25" t="s">
        <v>39</v>
      </c>
      <c r="D82" s="32">
        <v>41238</v>
      </c>
      <c r="E82" s="238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56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147"/>
      <c r="AP82" s="147"/>
      <c r="AQ82" s="147"/>
      <c r="AR82" s="147"/>
    </row>
    <row r="83" spans="1:44" ht="13.5" customHeight="1" hidden="1">
      <c r="A83" s="232"/>
      <c r="B83" s="235"/>
      <c r="C83" s="24" t="s">
        <v>1</v>
      </c>
      <c r="D83" s="142">
        <v>0.0225</v>
      </c>
      <c r="E83" s="238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56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147"/>
      <c r="AP83" s="147"/>
      <c r="AQ83" s="147"/>
      <c r="AR83" s="147"/>
    </row>
    <row r="84" spans="1:44" ht="15" customHeight="1" hidden="1" thickBot="1">
      <c r="A84" s="233"/>
      <c r="B84" s="236"/>
      <c r="C84" s="26" t="s">
        <v>41</v>
      </c>
      <c r="D84" s="84" t="s">
        <v>83</v>
      </c>
      <c r="E84" s="239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57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147"/>
      <c r="AP84" s="147"/>
      <c r="AQ84" s="147"/>
      <c r="AR84" s="147"/>
    </row>
    <row r="85" spans="1:44" ht="36" customHeight="1" hidden="1">
      <c r="A85" s="231" t="s">
        <v>129</v>
      </c>
      <c r="B85" s="234" t="s">
        <v>130</v>
      </c>
      <c r="C85" s="23" t="s">
        <v>40</v>
      </c>
      <c r="D85" s="81" t="s">
        <v>148</v>
      </c>
      <c r="E85" s="237">
        <v>0</v>
      </c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28">
        <f>E85+F85+H85+J85+L85+N85+P85+R85+T85+V85+X85+Z85+AB85-G85-I85-K85-M85-O85-Q85-S85-U85-W85-Y85-AA85-AC85</f>
        <v>0</v>
      </c>
      <c r="AE85" s="224"/>
      <c r="AF85" s="224"/>
      <c r="AG85" s="224"/>
      <c r="AH85" s="224">
        <v>571475.41</v>
      </c>
      <c r="AI85" s="224">
        <v>840000</v>
      </c>
      <c r="AJ85" s="224">
        <f>829873.97</f>
        <v>829873.97</v>
      </c>
      <c r="AK85" s="224">
        <f>-2761.64+143605.48</f>
        <v>140843.84</v>
      </c>
      <c r="AL85" s="224"/>
      <c r="AM85" s="224"/>
      <c r="AN85" s="224"/>
      <c r="AO85" s="147"/>
      <c r="AP85" s="147"/>
      <c r="AQ85" s="147"/>
      <c r="AR85" s="147"/>
    </row>
    <row r="86" spans="1:44" ht="13.5" customHeight="1" hidden="1">
      <c r="A86" s="232"/>
      <c r="B86" s="235"/>
      <c r="C86" s="24" t="s">
        <v>0</v>
      </c>
      <c r="D86" s="16" t="s">
        <v>49</v>
      </c>
      <c r="E86" s="238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29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147"/>
      <c r="AP86" s="147"/>
      <c r="AQ86" s="147"/>
      <c r="AR86" s="147"/>
    </row>
    <row r="87" spans="1:44" ht="13.5" customHeight="1" hidden="1">
      <c r="A87" s="232"/>
      <c r="B87" s="235"/>
      <c r="C87" s="25" t="s">
        <v>36</v>
      </c>
      <c r="D87" s="20" t="s">
        <v>42</v>
      </c>
      <c r="E87" s="238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29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147"/>
      <c r="AP87" s="147"/>
      <c r="AQ87" s="147"/>
      <c r="AR87" s="147"/>
    </row>
    <row r="88" spans="1:44" ht="13.5" customHeight="1" hidden="1">
      <c r="A88" s="232"/>
      <c r="B88" s="235"/>
      <c r="C88" s="24" t="s">
        <v>37</v>
      </c>
      <c r="D88" s="17"/>
      <c r="E88" s="238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29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147"/>
      <c r="AP88" s="147"/>
      <c r="AQ88" s="147"/>
      <c r="AR88" s="147"/>
    </row>
    <row r="89" spans="1:44" ht="13.5" customHeight="1" hidden="1">
      <c r="A89" s="232"/>
      <c r="B89" s="235"/>
      <c r="C89" s="24" t="s">
        <v>38</v>
      </c>
      <c r="D89" s="21">
        <v>21000000</v>
      </c>
      <c r="E89" s="238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29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147"/>
      <c r="AP89" s="147"/>
      <c r="AQ89" s="147"/>
      <c r="AR89" s="147"/>
    </row>
    <row r="90" spans="1:44" ht="13.5" customHeight="1" hidden="1">
      <c r="A90" s="232"/>
      <c r="B90" s="235"/>
      <c r="C90" s="25" t="s">
        <v>39</v>
      </c>
      <c r="D90" s="32">
        <v>42114</v>
      </c>
      <c r="E90" s="238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29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147"/>
      <c r="AP90" s="147"/>
      <c r="AQ90" s="147"/>
      <c r="AR90" s="147"/>
    </row>
    <row r="91" spans="1:44" ht="13.5" customHeight="1" hidden="1">
      <c r="A91" s="232"/>
      <c r="B91" s="235"/>
      <c r="C91" s="24" t="s">
        <v>1</v>
      </c>
      <c r="D91" s="59">
        <v>0.04</v>
      </c>
      <c r="E91" s="238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29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147"/>
      <c r="AP91" s="147"/>
      <c r="AQ91" s="147"/>
      <c r="AR91" s="147"/>
    </row>
    <row r="92" spans="1:44" ht="13.5" customHeight="1" hidden="1" thickBot="1">
      <c r="A92" s="233"/>
      <c r="B92" s="236"/>
      <c r="C92" s="26" t="s">
        <v>41</v>
      </c>
      <c r="D92" s="84" t="s">
        <v>83</v>
      </c>
      <c r="E92" s="239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30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147"/>
      <c r="AP92" s="147"/>
      <c r="AQ92" s="147"/>
      <c r="AR92" s="147"/>
    </row>
    <row r="93" spans="1:44" ht="39" customHeight="1" hidden="1">
      <c r="A93" s="231" t="s">
        <v>134</v>
      </c>
      <c r="B93" s="234" t="s">
        <v>135</v>
      </c>
      <c r="C93" s="23" t="s">
        <v>40</v>
      </c>
      <c r="D93" s="81" t="s">
        <v>136</v>
      </c>
      <c r="E93" s="237">
        <v>0</v>
      </c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28">
        <f>E93+F93+H93+J93+L93+N93+P93+R93+T93+V93+X93+Z93+AB93-G93-I93-K93-M93-O93-Q93-S93-U93-W93-Y93-AA93-AC93</f>
        <v>0</v>
      </c>
      <c r="AE93" s="224"/>
      <c r="AF93" s="224"/>
      <c r="AG93" s="224"/>
      <c r="AH93" s="224">
        <v>321311.48</v>
      </c>
      <c r="AI93" s="224">
        <v>840000</v>
      </c>
      <c r="AJ93" s="224">
        <f>829873.97</f>
        <v>829873.97</v>
      </c>
      <c r="AK93" s="224">
        <f>1841.1+287210.96</f>
        <v>289052.06</v>
      </c>
      <c r="AL93" s="224"/>
      <c r="AM93" s="224"/>
      <c r="AN93" s="224"/>
      <c r="AO93" s="147"/>
      <c r="AP93" s="147"/>
      <c r="AQ93" s="147"/>
      <c r="AR93" s="147"/>
    </row>
    <row r="94" spans="1:44" ht="13.5" customHeight="1" hidden="1">
      <c r="A94" s="232"/>
      <c r="B94" s="235"/>
      <c r="C94" s="24" t="s">
        <v>0</v>
      </c>
      <c r="D94" s="16" t="s">
        <v>49</v>
      </c>
      <c r="E94" s="238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29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147"/>
      <c r="AP94" s="147"/>
      <c r="AQ94" s="147"/>
      <c r="AR94" s="147"/>
    </row>
    <row r="95" spans="1:44" ht="13.5" customHeight="1" hidden="1">
      <c r="A95" s="232"/>
      <c r="B95" s="235"/>
      <c r="C95" s="25" t="s">
        <v>36</v>
      </c>
      <c r="D95" s="20" t="s">
        <v>42</v>
      </c>
      <c r="E95" s="238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29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147"/>
      <c r="AP95" s="147"/>
      <c r="AQ95" s="147"/>
      <c r="AR95" s="147"/>
    </row>
    <row r="96" spans="1:44" ht="13.5" customHeight="1" hidden="1">
      <c r="A96" s="232"/>
      <c r="B96" s="235"/>
      <c r="C96" s="24" t="s">
        <v>37</v>
      </c>
      <c r="D96" s="17"/>
      <c r="E96" s="238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29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147"/>
      <c r="AP96" s="147"/>
      <c r="AQ96" s="147"/>
      <c r="AR96" s="147"/>
    </row>
    <row r="97" spans="1:44" ht="13.5" customHeight="1" hidden="1">
      <c r="A97" s="232"/>
      <c r="B97" s="235"/>
      <c r="C97" s="24" t="s">
        <v>38</v>
      </c>
      <c r="D97" s="21">
        <v>21000000</v>
      </c>
      <c r="E97" s="238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29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147"/>
      <c r="AP97" s="147"/>
      <c r="AQ97" s="147"/>
      <c r="AR97" s="147"/>
    </row>
    <row r="98" spans="1:44" ht="13.5" customHeight="1" hidden="1">
      <c r="A98" s="232"/>
      <c r="B98" s="235"/>
      <c r="C98" s="25" t="s">
        <v>39</v>
      </c>
      <c r="D98" s="32">
        <v>42217</v>
      </c>
      <c r="E98" s="238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29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147"/>
      <c r="AP98" s="147"/>
      <c r="AQ98" s="147"/>
      <c r="AR98" s="147"/>
    </row>
    <row r="99" spans="1:44" ht="13.5" customHeight="1" hidden="1">
      <c r="A99" s="232"/>
      <c r="B99" s="235"/>
      <c r="C99" s="24" t="s">
        <v>1</v>
      </c>
      <c r="D99" s="59">
        <v>0.04</v>
      </c>
      <c r="E99" s="238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29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147"/>
      <c r="AP99" s="147"/>
      <c r="AQ99" s="147"/>
      <c r="AR99" s="147"/>
    </row>
    <row r="100" spans="1:44" ht="13.5" customHeight="1" hidden="1" thickBot="1">
      <c r="A100" s="233"/>
      <c r="B100" s="236"/>
      <c r="C100" s="26" t="s">
        <v>41</v>
      </c>
      <c r="D100" s="84" t="s">
        <v>83</v>
      </c>
      <c r="E100" s="239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30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147"/>
      <c r="AP100" s="147"/>
      <c r="AQ100" s="147"/>
      <c r="AR100" s="147"/>
    </row>
    <row r="101" spans="1:44" ht="36.75" customHeight="1">
      <c r="A101" s="231" t="s">
        <v>137</v>
      </c>
      <c r="B101" s="234" t="s">
        <v>138</v>
      </c>
      <c r="C101" s="23" t="s">
        <v>40</v>
      </c>
      <c r="D101" s="81" t="s">
        <v>328</v>
      </c>
      <c r="E101" s="237">
        <v>3000000</v>
      </c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8">
        <f>E101+F101+H101+J101+L101+N101+P101+R101+T101+V101+X101+Z101+AB101-G101-I101-K101-M101-O101-Q101-S101-U101-W101-Y101-AA101-AC101</f>
        <v>3000000</v>
      </c>
      <c r="AE101" s="224"/>
      <c r="AF101" s="224"/>
      <c r="AG101" s="224"/>
      <c r="AH101" s="224">
        <v>14344.26</v>
      </c>
      <c r="AI101" s="224">
        <v>74753.42</v>
      </c>
      <c r="AJ101" s="224">
        <f>67500</f>
        <v>67500</v>
      </c>
      <c r="AK101" s="224">
        <f>-184.93+825+59712.33</f>
        <v>60352.4</v>
      </c>
      <c r="AL101" s="224">
        <f>52254.1</f>
        <v>52254.1</v>
      </c>
      <c r="AM101" s="224">
        <f>44753.42</f>
        <v>44753.42</v>
      </c>
      <c r="AN101" s="224">
        <v>36924.66</v>
      </c>
      <c r="AO101" s="224">
        <f>29630.14</f>
        <v>29630.14</v>
      </c>
      <c r="AP101" s="224">
        <v>22500</v>
      </c>
      <c r="AQ101" s="224">
        <f>21904.11</f>
        <v>21904.11</v>
      </c>
      <c r="AR101" s="224">
        <f>3226.03+11773.97</f>
        <v>15000</v>
      </c>
    </row>
    <row r="102" spans="1:44" ht="13.5" customHeight="1">
      <c r="A102" s="232"/>
      <c r="B102" s="235"/>
      <c r="C102" s="24" t="s">
        <v>0</v>
      </c>
      <c r="D102" s="16" t="s">
        <v>49</v>
      </c>
      <c r="E102" s="238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9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</row>
    <row r="103" spans="1:44" ht="13.5" customHeight="1">
      <c r="A103" s="232"/>
      <c r="B103" s="235"/>
      <c r="C103" s="25" t="s">
        <v>36</v>
      </c>
      <c r="D103" s="20" t="s">
        <v>42</v>
      </c>
      <c r="E103" s="238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9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</row>
    <row r="104" spans="1:44" ht="13.5" customHeight="1">
      <c r="A104" s="232"/>
      <c r="B104" s="235"/>
      <c r="C104" s="24" t="s">
        <v>37</v>
      </c>
      <c r="D104" s="17"/>
      <c r="E104" s="238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9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</row>
    <row r="105" spans="1:44" ht="13.5" customHeight="1">
      <c r="A105" s="232"/>
      <c r="B105" s="235"/>
      <c r="C105" s="24" t="s">
        <v>38</v>
      </c>
      <c r="D105" s="21">
        <v>15000000</v>
      </c>
      <c r="E105" s="238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9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</row>
    <row r="106" spans="1:44" ht="13.5" customHeight="1">
      <c r="A106" s="232"/>
      <c r="B106" s="235"/>
      <c r="C106" s="25" t="s">
        <v>39</v>
      </c>
      <c r="D106" s="166">
        <v>47452</v>
      </c>
      <c r="E106" s="238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9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</row>
    <row r="107" spans="1:44" ht="13.5" customHeight="1">
      <c r="A107" s="232"/>
      <c r="B107" s="235"/>
      <c r="C107" s="24" t="s">
        <v>1</v>
      </c>
      <c r="D107" s="142">
        <v>0.005</v>
      </c>
      <c r="E107" s="238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9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</row>
    <row r="108" spans="1:44" ht="13.5" customHeight="1" thickBot="1">
      <c r="A108" s="233"/>
      <c r="B108" s="236"/>
      <c r="C108" s="26" t="s">
        <v>41</v>
      </c>
      <c r="D108" s="84" t="s">
        <v>83</v>
      </c>
      <c r="E108" s="239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30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</row>
    <row r="109" spans="1:44" ht="31.5" customHeight="1" hidden="1">
      <c r="A109" s="231" t="s">
        <v>139</v>
      </c>
      <c r="B109" s="234" t="s">
        <v>140</v>
      </c>
      <c r="C109" s="23" t="s">
        <v>40</v>
      </c>
      <c r="D109" s="81" t="s">
        <v>141</v>
      </c>
      <c r="E109" s="237">
        <v>0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8">
        <f>E109+F109+H109+J109+L109+N109+P109+R109+T109+V109+X109+Z109+AB109-G109-I109-K109-M109-O109-Q109-S109-U109-W109-Y109-AA109-AC109</f>
        <v>0</v>
      </c>
      <c r="AE109" s="224"/>
      <c r="AF109" s="224"/>
      <c r="AG109" s="224"/>
      <c r="AH109" s="224">
        <v>54098.36</v>
      </c>
      <c r="AI109" s="224">
        <v>330000</v>
      </c>
      <c r="AJ109" s="224">
        <f>326021.91</f>
        <v>326021.91</v>
      </c>
      <c r="AK109" s="224">
        <f>723.3+162197.26</f>
        <v>162920.56</v>
      </c>
      <c r="AL109" s="224"/>
      <c r="AM109" s="224"/>
      <c r="AN109" s="224"/>
      <c r="AO109" s="224"/>
      <c r="AP109" s="224"/>
      <c r="AQ109" s="224"/>
      <c r="AR109" s="224"/>
    </row>
    <row r="110" spans="1:44" ht="13.5" customHeight="1" hidden="1">
      <c r="A110" s="232"/>
      <c r="B110" s="235"/>
      <c r="C110" s="24" t="s">
        <v>0</v>
      </c>
      <c r="D110" s="16" t="s">
        <v>49</v>
      </c>
      <c r="E110" s="238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9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</row>
    <row r="111" spans="1:44" ht="13.5" customHeight="1" hidden="1">
      <c r="A111" s="232"/>
      <c r="B111" s="235"/>
      <c r="C111" s="25" t="s">
        <v>36</v>
      </c>
      <c r="D111" s="20" t="s">
        <v>42</v>
      </c>
      <c r="E111" s="238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9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</row>
    <row r="112" spans="1:44" ht="13.5" customHeight="1" hidden="1">
      <c r="A112" s="232"/>
      <c r="B112" s="235"/>
      <c r="C112" s="24" t="s">
        <v>37</v>
      </c>
      <c r="D112" s="17"/>
      <c r="E112" s="238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9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</row>
    <row r="113" spans="1:44" ht="13.5" customHeight="1" hidden="1">
      <c r="A113" s="232"/>
      <c r="B113" s="235"/>
      <c r="C113" s="24" t="s">
        <v>38</v>
      </c>
      <c r="D113" s="21">
        <v>8000000</v>
      </c>
      <c r="E113" s="238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9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</row>
    <row r="114" spans="1:44" ht="13.5" customHeight="1" hidden="1">
      <c r="A114" s="232"/>
      <c r="B114" s="235"/>
      <c r="C114" s="25" t="s">
        <v>39</v>
      </c>
      <c r="D114" s="32">
        <v>42303</v>
      </c>
      <c r="E114" s="238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9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</row>
    <row r="115" spans="1:44" ht="13.5" customHeight="1" hidden="1">
      <c r="A115" s="232"/>
      <c r="B115" s="235"/>
      <c r="C115" s="24" t="s">
        <v>1</v>
      </c>
      <c r="D115" s="145">
        <v>0.04125</v>
      </c>
      <c r="E115" s="238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9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</row>
    <row r="116" spans="1:44" ht="13.5" customHeight="1" hidden="1" thickBot="1">
      <c r="A116" s="233"/>
      <c r="B116" s="236"/>
      <c r="C116" s="26" t="s">
        <v>41</v>
      </c>
      <c r="D116" s="84" t="s">
        <v>83</v>
      </c>
      <c r="E116" s="239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30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</row>
    <row r="117" spans="1:44" ht="31.5" customHeight="1" hidden="1">
      <c r="A117" s="231" t="s">
        <v>159</v>
      </c>
      <c r="B117" s="234" t="s">
        <v>160</v>
      </c>
      <c r="C117" s="23" t="s">
        <v>40</v>
      </c>
      <c r="D117" s="81" t="s">
        <v>161</v>
      </c>
      <c r="E117" s="237">
        <v>0</v>
      </c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8">
        <f>E117+F117+H117+J117+L117+N117+P117+R117+T117+V117+X117+Z117+AB117-G117-I117-K117-M117-O117-Q117-S117-U117-W117-Y117-AA117-AC117</f>
        <v>0</v>
      </c>
      <c r="AE117" s="224"/>
      <c r="AF117" s="224"/>
      <c r="AG117" s="224"/>
      <c r="AH117" s="224">
        <v>54098.36</v>
      </c>
      <c r="AI117" s="224">
        <v>330000</v>
      </c>
      <c r="AJ117" s="224">
        <v>3051.48</v>
      </c>
      <c r="AK117" s="224">
        <f>8770</f>
        <v>8770</v>
      </c>
      <c r="AL117" s="224">
        <f>8515.05</f>
        <v>8515.05</v>
      </c>
      <c r="AM117" s="224">
        <f>3199.01</f>
        <v>3199.01</v>
      </c>
      <c r="AN117" s="224"/>
      <c r="AO117" s="224"/>
      <c r="AP117" s="224"/>
      <c r="AQ117" s="224"/>
      <c r="AR117" s="224"/>
    </row>
    <row r="118" spans="1:44" ht="13.5" customHeight="1" hidden="1">
      <c r="A118" s="232"/>
      <c r="B118" s="235"/>
      <c r="C118" s="24" t="s">
        <v>0</v>
      </c>
      <c r="D118" s="16" t="s">
        <v>49</v>
      </c>
      <c r="E118" s="238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9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</row>
    <row r="119" spans="1:44" ht="13.5" customHeight="1" hidden="1">
      <c r="A119" s="232"/>
      <c r="B119" s="235"/>
      <c r="C119" s="25" t="s">
        <v>36</v>
      </c>
      <c r="D119" s="20" t="s">
        <v>42</v>
      </c>
      <c r="E119" s="238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9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</row>
    <row r="120" spans="1:44" ht="13.5" customHeight="1" hidden="1">
      <c r="A120" s="232"/>
      <c r="B120" s="235"/>
      <c r="C120" s="24" t="s">
        <v>37</v>
      </c>
      <c r="D120" s="17"/>
      <c r="E120" s="238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9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</row>
    <row r="121" spans="1:44" ht="13.5" customHeight="1" hidden="1">
      <c r="A121" s="232"/>
      <c r="B121" s="235"/>
      <c r="C121" s="24" t="s">
        <v>38</v>
      </c>
      <c r="D121" s="21">
        <v>8770000</v>
      </c>
      <c r="E121" s="238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9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</row>
    <row r="122" spans="1:44" ht="13.5" customHeight="1" hidden="1">
      <c r="A122" s="232"/>
      <c r="B122" s="235"/>
      <c r="C122" s="25" t="s">
        <v>39</v>
      </c>
      <c r="D122" s="32">
        <v>42961</v>
      </c>
      <c r="E122" s="238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9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</row>
    <row r="123" spans="1:44" ht="13.5" customHeight="1" hidden="1">
      <c r="A123" s="232"/>
      <c r="B123" s="235"/>
      <c r="C123" s="24" t="s">
        <v>1</v>
      </c>
      <c r="D123" s="145">
        <v>0.001</v>
      </c>
      <c r="E123" s="238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9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</row>
    <row r="124" spans="1:44" ht="13.5" customHeight="1" hidden="1" thickBot="1">
      <c r="A124" s="233"/>
      <c r="B124" s="236"/>
      <c r="C124" s="26" t="s">
        <v>41</v>
      </c>
      <c r="D124" s="84" t="s">
        <v>83</v>
      </c>
      <c r="E124" s="239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30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</row>
    <row r="125" spans="1:44" ht="31.5" customHeight="1" hidden="1">
      <c r="A125" s="231" t="s">
        <v>168</v>
      </c>
      <c r="B125" s="234" t="s">
        <v>169</v>
      </c>
      <c r="C125" s="23" t="s">
        <v>40</v>
      </c>
      <c r="D125" s="81" t="s">
        <v>170</v>
      </c>
      <c r="E125" s="237">
        <v>0</v>
      </c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8">
        <f>E125+F125+H125+J125+L125+N125+P125+R125+T125+V125+X125+Z125+AB125-G125-I125-K125-M125-O125-Q125-S125-U125-W125-Y125-AA125-AC125</f>
        <v>0</v>
      </c>
      <c r="AE125" s="224"/>
      <c r="AF125" s="224"/>
      <c r="AG125" s="224"/>
      <c r="AH125" s="224">
        <v>54098.36</v>
      </c>
      <c r="AI125" s="224">
        <v>330000</v>
      </c>
      <c r="AJ125" s="224">
        <v>838.36</v>
      </c>
      <c r="AK125" s="224">
        <f>-197.26+18000</f>
        <v>17802.74</v>
      </c>
      <c r="AL125" s="224">
        <f>17476.72</f>
        <v>17476.72</v>
      </c>
      <c r="AM125" s="224">
        <f>9432.99</f>
        <v>9432.99</v>
      </c>
      <c r="AN125" s="224"/>
      <c r="AO125" s="224"/>
      <c r="AP125" s="224"/>
      <c r="AQ125" s="224"/>
      <c r="AR125" s="224"/>
    </row>
    <row r="126" spans="1:44" ht="13.5" customHeight="1" hidden="1">
      <c r="A126" s="232"/>
      <c r="B126" s="235"/>
      <c r="C126" s="24" t="s">
        <v>0</v>
      </c>
      <c r="D126" s="16" t="s">
        <v>49</v>
      </c>
      <c r="E126" s="238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9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</row>
    <row r="127" spans="1:44" ht="13.5" customHeight="1" hidden="1">
      <c r="A127" s="232"/>
      <c r="B127" s="235"/>
      <c r="C127" s="25" t="s">
        <v>36</v>
      </c>
      <c r="D127" s="20" t="s">
        <v>42</v>
      </c>
      <c r="E127" s="238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9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</row>
    <row r="128" spans="1:44" ht="13.5" customHeight="1" hidden="1">
      <c r="A128" s="232"/>
      <c r="B128" s="235"/>
      <c r="C128" s="24" t="s">
        <v>37</v>
      </c>
      <c r="D128" s="17"/>
      <c r="E128" s="238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9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</row>
    <row r="129" spans="1:44" ht="13.5" customHeight="1" hidden="1">
      <c r="A129" s="232"/>
      <c r="B129" s="235"/>
      <c r="C129" s="24" t="s">
        <v>38</v>
      </c>
      <c r="D129" s="21">
        <v>18000000</v>
      </c>
      <c r="E129" s="238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9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</row>
    <row r="130" spans="1:44" ht="13.5" customHeight="1" hidden="1">
      <c r="A130" s="232"/>
      <c r="B130" s="235"/>
      <c r="C130" s="25" t="s">
        <v>39</v>
      </c>
      <c r="D130" s="32">
        <v>43059</v>
      </c>
      <c r="E130" s="238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9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</row>
    <row r="131" spans="1:44" ht="13.5" customHeight="1" hidden="1">
      <c r="A131" s="232"/>
      <c r="B131" s="235"/>
      <c r="C131" s="24" t="s">
        <v>1</v>
      </c>
      <c r="D131" s="145">
        <v>0.001</v>
      </c>
      <c r="E131" s="238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9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</row>
    <row r="132" spans="1:44" ht="13.5" customHeight="1" hidden="1" thickBot="1">
      <c r="A132" s="233"/>
      <c r="B132" s="236"/>
      <c r="C132" s="26" t="s">
        <v>41</v>
      </c>
      <c r="D132" s="84" t="s">
        <v>83</v>
      </c>
      <c r="E132" s="239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30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</row>
    <row r="133" spans="1:44" ht="31.5" customHeight="1" hidden="1">
      <c r="A133" s="231" t="s">
        <v>172</v>
      </c>
      <c r="B133" s="234" t="s">
        <v>173</v>
      </c>
      <c r="C133" s="23" t="s">
        <v>40</v>
      </c>
      <c r="D133" s="81" t="s">
        <v>174</v>
      </c>
      <c r="E133" s="237">
        <v>0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8"/>
      <c r="AE133" s="224"/>
      <c r="AF133" s="224"/>
      <c r="AG133" s="224"/>
      <c r="AH133" s="224"/>
      <c r="AI133" s="224"/>
      <c r="AJ133" s="224"/>
      <c r="AK133" s="224">
        <v>8171.01</v>
      </c>
      <c r="AL133" s="224">
        <v>11340</v>
      </c>
      <c r="AM133" s="224">
        <f>10768.34</f>
        <v>10768.34</v>
      </c>
      <c r="AN133" s="224">
        <v>1582.63</v>
      </c>
      <c r="AO133" s="224"/>
      <c r="AP133" s="224"/>
      <c r="AQ133" s="224"/>
      <c r="AR133" s="224"/>
    </row>
    <row r="134" spans="1:44" ht="13.5" customHeight="1" hidden="1">
      <c r="A134" s="232"/>
      <c r="B134" s="235"/>
      <c r="C134" s="24" t="s">
        <v>0</v>
      </c>
      <c r="D134" s="16" t="s">
        <v>49</v>
      </c>
      <c r="E134" s="238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9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</row>
    <row r="135" spans="1:44" ht="13.5" customHeight="1" hidden="1">
      <c r="A135" s="232"/>
      <c r="B135" s="235"/>
      <c r="C135" s="25" t="s">
        <v>36</v>
      </c>
      <c r="D135" s="20" t="s">
        <v>42</v>
      </c>
      <c r="E135" s="238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9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</row>
    <row r="136" spans="1:44" ht="13.5" customHeight="1" hidden="1">
      <c r="A136" s="232"/>
      <c r="B136" s="235"/>
      <c r="C136" s="24" t="s">
        <v>37</v>
      </c>
      <c r="D136" s="17"/>
      <c r="E136" s="238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9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</row>
    <row r="137" spans="1:44" ht="13.5" customHeight="1" hidden="1">
      <c r="A137" s="232"/>
      <c r="B137" s="235"/>
      <c r="C137" s="24" t="s">
        <v>38</v>
      </c>
      <c r="D137" s="21">
        <v>11340000</v>
      </c>
      <c r="E137" s="238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9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</row>
    <row r="138" spans="1:44" ht="13.5" customHeight="1" hidden="1">
      <c r="A138" s="232"/>
      <c r="B138" s="235"/>
      <c r="C138" s="25" t="s">
        <v>39</v>
      </c>
      <c r="D138" s="166">
        <v>43186</v>
      </c>
      <c r="E138" s="238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9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</row>
    <row r="139" spans="1:44" ht="13.5" customHeight="1" hidden="1">
      <c r="A139" s="232"/>
      <c r="B139" s="235"/>
      <c r="C139" s="24" t="s">
        <v>1</v>
      </c>
      <c r="D139" s="169">
        <v>0.001</v>
      </c>
      <c r="E139" s="238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9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</row>
    <row r="140" spans="1:44" ht="13.5" customHeight="1" hidden="1" thickBot="1">
      <c r="A140" s="233"/>
      <c r="B140" s="236"/>
      <c r="C140" s="26" t="s">
        <v>41</v>
      </c>
      <c r="D140" s="84" t="s">
        <v>83</v>
      </c>
      <c r="E140" s="239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30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</row>
    <row r="141" spans="1:44" ht="31.5" customHeight="1" hidden="1">
      <c r="A141" s="231" t="s">
        <v>182</v>
      </c>
      <c r="B141" s="234" t="s">
        <v>183</v>
      </c>
      <c r="C141" s="23" t="s">
        <v>40</v>
      </c>
      <c r="D141" s="81" t="s">
        <v>184</v>
      </c>
      <c r="E141" s="237">
        <v>0</v>
      </c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8"/>
      <c r="AE141" s="224"/>
      <c r="AF141" s="224"/>
      <c r="AG141" s="224"/>
      <c r="AH141" s="224"/>
      <c r="AI141" s="224"/>
      <c r="AJ141" s="224"/>
      <c r="AK141" s="224">
        <v>5002.03</v>
      </c>
      <c r="AL141" s="224">
        <v>11340</v>
      </c>
      <c r="AM141" s="224">
        <f>10768.34</f>
        <v>10768.34</v>
      </c>
      <c r="AN141" s="224">
        <f>3746.86</f>
        <v>3746.86</v>
      </c>
      <c r="AO141" s="224"/>
      <c r="AP141" s="224"/>
      <c r="AQ141" s="224"/>
      <c r="AR141" s="224"/>
    </row>
    <row r="142" spans="1:44" ht="13.5" customHeight="1" hidden="1">
      <c r="A142" s="232"/>
      <c r="B142" s="235"/>
      <c r="C142" s="24" t="s">
        <v>0</v>
      </c>
      <c r="D142" s="16" t="s">
        <v>49</v>
      </c>
      <c r="E142" s="238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9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</row>
    <row r="143" spans="1:44" ht="13.5" customHeight="1" hidden="1">
      <c r="A143" s="232"/>
      <c r="B143" s="235"/>
      <c r="C143" s="25" t="s">
        <v>36</v>
      </c>
      <c r="D143" s="20" t="s">
        <v>42</v>
      </c>
      <c r="E143" s="238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9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</row>
    <row r="144" spans="1:44" ht="13.5" customHeight="1" hidden="1">
      <c r="A144" s="232"/>
      <c r="B144" s="235"/>
      <c r="C144" s="24" t="s">
        <v>37</v>
      </c>
      <c r="D144" s="17"/>
      <c r="E144" s="238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9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</row>
    <row r="145" spans="1:44" ht="13.5" customHeight="1" hidden="1">
      <c r="A145" s="232"/>
      <c r="B145" s="235"/>
      <c r="C145" s="24" t="s">
        <v>38</v>
      </c>
      <c r="D145" s="21">
        <v>11340000</v>
      </c>
      <c r="E145" s="238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9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</row>
    <row r="146" spans="1:44" ht="13.5" customHeight="1" hidden="1">
      <c r="A146" s="232"/>
      <c r="B146" s="235"/>
      <c r="C146" s="25" t="s">
        <v>39</v>
      </c>
      <c r="D146" s="166">
        <v>43301</v>
      </c>
      <c r="E146" s="238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9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</row>
    <row r="147" spans="1:44" ht="13.5" customHeight="1" hidden="1">
      <c r="A147" s="232"/>
      <c r="B147" s="235"/>
      <c r="C147" s="24" t="s">
        <v>1</v>
      </c>
      <c r="D147" s="169">
        <v>0.001</v>
      </c>
      <c r="E147" s="238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9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</row>
    <row r="148" spans="1:44" ht="13.5" customHeight="1" hidden="1" thickBot="1">
      <c r="A148" s="233"/>
      <c r="B148" s="236"/>
      <c r="C148" s="26" t="s">
        <v>41</v>
      </c>
      <c r="D148" s="84" t="s">
        <v>83</v>
      </c>
      <c r="E148" s="239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30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</row>
    <row r="149" spans="1:44" ht="31.5" customHeight="1" hidden="1">
      <c r="A149" s="231" t="s">
        <v>192</v>
      </c>
      <c r="B149" s="234" t="s">
        <v>193</v>
      </c>
      <c r="C149" s="23" t="s">
        <v>40</v>
      </c>
      <c r="D149" s="81" t="s">
        <v>194</v>
      </c>
      <c r="E149" s="237">
        <v>0</v>
      </c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8"/>
      <c r="AE149" s="224"/>
      <c r="AF149" s="224"/>
      <c r="AG149" s="224"/>
      <c r="AH149" s="224"/>
      <c r="AI149" s="224"/>
      <c r="AJ149" s="224"/>
      <c r="AK149" s="224">
        <v>591.78</v>
      </c>
      <c r="AL149" s="224">
        <f>4320</f>
        <v>4320</v>
      </c>
      <c r="AM149" s="224">
        <f>4102.22</f>
        <v>4102.22</v>
      </c>
      <c r="AN149" s="224">
        <f>1959.98</f>
        <v>1959.98</v>
      </c>
      <c r="AO149" s="224"/>
      <c r="AP149" s="224"/>
      <c r="AQ149" s="224"/>
      <c r="AR149" s="224"/>
    </row>
    <row r="150" spans="1:44" ht="13.5" customHeight="1" hidden="1">
      <c r="A150" s="232"/>
      <c r="B150" s="235"/>
      <c r="C150" s="24" t="s">
        <v>0</v>
      </c>
      <c r="D150" s="16" t="s">
        <v>49</v>
      </c>
      <c r="E150" s="238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9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</row>
    <row r="151" spans="1:44" ht="13.5" customHeight="1" hidden="1">
      <c r="A151" s="232"/>
      <c r="B151" s="235"/>
      <c r="C151" s="25" t="s">
        <v>36</v>
      </c>
      <c r="D151" s="20" t="s">
        <v>42</v>
      </c>
      <c r="E151" s="238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9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</row>
    <row r="152" spans="1:44" ht="13.5" customHeight="1" hidden="1">
      <c r="A152" s="232"/>
      <c r="B152" s="235"/>
      <c r="C152" s="24" t="s">
        <v>37</v>
      </c>
      <c r="D152" s="17"/>
      <c r="E152" s="238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9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</row>
    <row r="153" spans="1:44" ht="13.5" customHeight="1" hidden="1">
      <c r="A153" s="232"/>
      <c r="B153" s="235"/>
      <c r="C153" s="24" t="s">
        <v>38</v>
      </c>
      <c r="D153" s="21">
        <v>4320000</v>
      </c>
      <c r="E153" s="238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9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</row>
    <row r="154" spans="1:44" ht="13.5" customHeight="1" hidden="1">
      <c r="A154" s="232"/>
      <c r="B154" s="235"/>
      <c r="C154" s="25" t="s">
        <v>39</v>
      </c>
      <c r="D154" s="166">
        <v>43424</v>
      </c>
      <c r="E154" s="238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9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</row>
    <row r="155" spans="1:44" ht="13.5" customHeight="1" hidden="1">
      <c r="A155" s="232"/>
      <c r="B155" s="235"/>
      <c r="C155" s="24" t="s">
        <v>1</v>
      </c>
      <c r="D155" s="169">
        <v>0.001</v>
      </c>
      <c r="E155" s="238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9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</row>
    <row r="156" spans="1:44" ht="13.5" customHeight="1" hidden="1" thickBot="1">
      <c r="A156" s="233"/>
      <c r="B156" s="236"/>
      <c r="C156" s="26" t="s">
        <v>41</v>
      </c>
      <c r="D156" s="84" t="s">
        <v>83</v>
      </c>
      <c r="E156" s="239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30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</row>
    <row r="157" spans="1:44" ht="31.5" customHeight="1" hidden="1">
      <c r="A157" s="231" t="s">
        <v>217</v>
      </c>
      <c r="B157" s="234" t="s">
        <v>218</v>
      </c>
      <c r="C157" s="23" t="s">
        <v>40</v>
      </c>
      <c r="D157" s="81" t="s">
        <v>219</v>
      </c>
      <c r="E157" s="237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8">
        <f>E157+F157+H157+J157+L157+N157+P157+R157+T157+V157+X157+Z157+AB157-G157-I157-K157-M157-O157-Q157-S157-U157-W157-Y157-AA157-AC157</f>
        <v>0</v>
      </c>
      <c r="AE157" s="224"/>
      <c r="AF157" s="224"/>
      <c r="AG157" s="224"/>
      <c r="AH157" s="224"/>
      <c r="AI157" s="224"/>
      <c r="AJ157" s="224"/>
      <c r="AK157" s="224"/>
      <c r="AL157" s="224">
        <v>2729.78</v>
      </c>
      <c r="AM157" s="224">
        <f>9700</f>
        <v>9700</v>
      </c>
      <c r="AN157" s="224">
        <v>8753.92</v>
      </c>
      <c r="AO157" s="224">
        <f>3484.03</f>
        <v>3484.03</v>
      </c>
      <c r="AP157" s="224"/>
      <c r="AQ157" s="224"/>
      <c r="AR157" s="224"/>
    </row>
    <row r="158" spans="1:44" ht="13.5" customHeight="1" hidden="1">
      <c r="A158" s="232"/>
      <c r="B158" s="235"/>
      <c r="C158" s="24" t="s">
        <v>0</v>
      </c>
      <c r="D158" s="16" t="s">
        <v>49</v>
      </c>
      <c r="E158" s="238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9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</row>
    <row r="159" spans="1:44" ht="13.5" customHeight="1" hidden="1">
      <c r="A159" s="232"/>
      <c r="B159" s="235"/>
      <c r="C159" s="25" t="s">
        <v>36</v>
      </c>
      <c r="D159" s="20" t="s">
        <v>42</v>
      </c>
      <c r="E159" s="238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9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</row>
    <row r="160" spans="1:44" ht="13.5" customHeight="1" hidden="1">
      <c r="A160" s="232"/>
      <c r="B160" s="235"/>
      <c r="C160" s="24" t="s">
        <v>37</v>
      </c>
      <c r="D160" s="17"/>
      <c r="E160" s="238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9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</row>
    <row r="161" spans="1:44" ht="13.5" customHeight="1" hidden="1">
      <c r="A161" s="232"/>
      <c r="B161" s="235"/>
      <c r="C161" s="24" t="s">
        <v>38</v>
      </c>
      <c r="D161" s="21">
        <v>9700000</v>
      </c>
      <c r="E161" s="238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9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</row>
    <row r="162" spans="1:44" ht="13.5" customHeight="1" hidden="1">
      <c r="A162" s="232"/>
      <c r="B162" s="235"/>
      <c r="C162" s="25" t="s">
        <v>39</v>
      </c>
      <c r="D162" s="166">
        <v>43692</v>
      </c>
      <c r="E162" s="238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9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</row>
    <row r="163" spans="1:44" ht="13.5" customHeight="1" hidden="1">
      <c r="A163" s="232"/>
      <c r="B163" s="235"/>
      <c r="C163" s="24" t="s">
        <v>1</v>
      </c>
      <c r="D163" s="169">
        <v>0.001</v>
      </c>
      <c r="E163" s="238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9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</row>
    <row r="164" spans="1:44" ht="13.5" customHeight="1" hidden="1" thickBot="1">
      <c r="A164" s="233"/>
      <c r="B164" s="236"/>
      <c r="C164" s="26" t="s">
        <v>41</v>
      </c>
      <c r="D164" s="84" t="s">
        <v>83</v>
      </c>
      <c r="E164" s="239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30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</row>
    <row r="165" spans="1:44" ht="31.5" customHeight="1" hidden="1">
      <c r="A165" s="231" t="s">
        <v>220</v>
      </c>
      <c r="B165" s="234" t="s">
        <v>221</v>
      </c>
      <c r="C165" s="23" t="s">
        <v>40</v>
      </c>
      <c r="D165" s="81" t="s">
        <v>222</v>
      </c>
      <c r="E165" s="237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8">
        <f>E165+F165+H165+J165+L165+N165+P165+R165+T165+V165+X165+Z165+AB165-G165-I165-K165-M165-O165-Q165-S165-U165-W165-Y165-AA165-AC165</f>
        <v>0</v>
      </c>
      <c r="AE165" s="224"/>
      <c r="AF165" s="224"/>
      <c r="AG165" s="224"/>
      <c r="AH165" s="224"/>
      <c r="AI165" s="224"/>
      <c r="AJ165" s="224"/>
      <c r="AK165" s="224"/>
      <c r="AL165" s="224">
        <f>748.97</f>
        <v>748.97</v>
      </c>
      <c r="AM165" s="224">
        <f>8566.4</f>
        <v>8566.4</v>
      </c>
      <c r="AN165" s="224">
        <v>7730.87</v>
      </c>
      <c r="AO165" s="224">
        <f>3900.62</f>
        <v>3900.62</v>
      </c>
      <c r="AP165" s="224"/>
      <c r="AQ165" s="224"/>
      <c r="AR165" s="224"/>
    </row>
    <row r="166" spans="1:44" ht="13.5" customHeight="1" hidden="1">
      <c r="A166" s="232"/>
      <c r="B166" s="235"/>
      <c r="C166" s="24" t="s">
        <v>0</v>
      </c>
      <c r="D166" s="16" t="s">
        <v>49</v>
      </c>
      <c r="E166" s="238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9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</row>
    <row r="167" spans="1:44" ht="13.5" customHeight="1" hidden="1">
      <c r="A167" s="232"/>
      <c r="B167" s="235"/>
      <c r="C167" s="25" t="s">
        <v>36</v>
      </c>
      <c r="D167" s="20" t="s">
        <v>42</v>
      </c>
      <c r="E167" s="238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9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</row>
    <row r="168" spans="1:44" ht="13.5" customHeight="1" hidden="1">
      <c r="A168" s="232"/>
      <c r="B168" s="235"/>
      <c r="C168" s="24" t="s">
        <v>37</v>
      </c>
      <c r="D168" s="17"/>
      <c r="E168" s="238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9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</row>
    <row r="169" spans="1:44" ht="13.5" customHeight="1" hidden="1">
      <c r="A169" s="232"/>
      <c r="B169" s="235"/>
      <c r="C169" s="24" t="s">
        <v>38</v>
      </c>
      <c r="D169" s="21">
        <v>8566400</v>
      </c>
      <c r="E169" s="238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9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</row>
    <row r="170" spans="1:44" ht="13.5" customHeight="1" hidden="1">
      <c r="A170" s="232"/>
      <c r="B170" s="235"/>
      <c r="C170" s="25" t="s">
        <v>39</v>
      </c>
      <c r="D170" s="166">
        <v>43753</v>
      </c>
      <c r="E170" s="238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9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</row>
    <row r="171" spans="1:44" ht="13.5" customHeight="1" hidden="1">
      <c r="A171" s="232"/>
      <c r="B171" s="235"/>
      <c r="C171" s="24" t="s">
        <v>1</v>
      </c>
      <c r="D171" s="169">
        <v>0.001</v>
      </c>
      <c r="E171" s="238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9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</row>
    <row r="172" spans="1:44" ht="13.5" customHeight="1" hidden="1" thickBot="1">
      <c r="A172" s="233"/>
      <c r="B172" s="236"/>
      <c r="C172" s="26" t="s">
        <v>41</v>
      </c>
      <c r="D172" s="84" t="s">
        <v>83</v>
      </c>
      <c r="E172" s="239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30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</row>
    <row r="173" spans="1:44" ht="31.5" customHeight="1" hidden="1">
      <c r="A173" s="231" t="s">
        <v>225</v>
      </c>
      <c r="B173" s="234" t="s">
        <v>226</v>
      </c>
      <c r="C173" s="23" t="s">
        <v>40</v>
      </c>
      <c r="D173" s="81" t="s">
        <v>255</v>
      </c>
      <c r="E173" s="237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8">
        <f>E173+F173+H173+J173+L173+N173+P173+R173+T173+V173+X173+Z173+AB173-G173-I173-K173-M173-O173-Q173-S173-U173-W173-Y173-AA173-AC173</f>
        <v>0</v>
      </c>
      <c r="AE173" s="224"/>
      <c r="AF173" s="224"/>
      <c r="AG173" s="224"/>
      <c r="AH173" s="224"/>
      <c r="AI173" s="224"/>
      <c r="AJ173" s="224"/>
      <c r="AK173" s="224"/>
      <c r="AL173" s="224">
        <f>49.18</f>
        <v>49.18</v>
      </c>
      <c r="AM173" s="224">
        <f>1500</f>
        <v>1500</v>
      </c>
      <c r="AN173" s="224">
        <v>1353.7</v>
      </c>
      <c r="AO173" s="224">
        <v>683.01</v>
      </c>
      <c r="AP173" s="224"/>
      <c r="AQ173" s="224"/>
      <c r="AR173" s="224"/>
    </row>
    <row r="174" spans="1:44" ht="13.5" customHeight="1" hidden="1">
      <c r="A174" s="232"/>
      <c r="B174" s="235"/>
      <c r="C174" s="24" t="s">
        <v>0</v>
      </c>
      <c r="D174" s="16" t="s">
        <v>49</v>
      </c>
      <c r="E174" s="238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9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</row>
    <row r="175" spans="1:44" ht="13.5" customHeight="1" hidden="1">
      <c r="A175" s="232"/>
      <c r="B175" s="235"/>
      <c r="C175" s="25" t="s">
        <v>36</v>
      </c>
      <c r="D175" s="20" t="s">
        <v>42</v>
      </c>
      <c r="E175" s="238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9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</row>
    <row r="176" spans="1:44" ht="13.5" customHeight="1" hidden="1">
      <c r="A176" s="232"/>
      <c r="B176" s="235"/>
      <c r="C176" s="24" t="s">
        <v>37</v>
      </c>
      <c r="D176" s="17"/>
      <c r="E176" s="238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9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</row>
    <row r="177" spans="1:44" ht="13.5" customHeight="1" hidden="1">
      <c r="A177" s="232"/>
      <c r="B177" s="235"/>
      <c r="C177" s="24" t="s">
        <v>38</v>
      </c>
      <c r="D177" s="21">
        <v>1500000</v>
      </c>
      <c r="E177" s="238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9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</row>
    <row r="178" spans="1:44" ht="13.5" customHeight="1" hidden="1">
      <c r="A178" s="232"/>
      <c r="B178" s="235"/>
      <c r="C178" s="25" t="s">
        <v>39</v>
      </c>
      <c r="D178" s="166">
        <v>43753</v>
      </c>
      <c r="E178" s="238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9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</row>
    <row r="179" spans="1:44" ht="13.5" customHeight="1" hidden="1">
      <c r="A179" s="232"/>
      <c r="B179" s="235"/>
      <c r="C179" s="24" t="s">
        <v>1</v>
      </c>
      <c r="D179" s="169">
        <v>0.001</v>
      </c>
      <c r="E179" s="238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9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</row>
    <row r="180" spans="1:44" ht="13.5" customHeight="1" hidden="1" thickBot="1">
      <c r="A180" s="233"/>
      <c r="B180" s="236"/>
      <c r="C180" s="26" t="s">
        <v>41</v>
      </c>
      <c r="D180" s="84" t="s">
        <v>83</v>
      </c>
      <c r="E180" s="239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30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</row>
    <row r="181" spans="1:44" ht="38.25" customHeight="1">
      <c r="A181" s="231" t="s">
        <v>236</v>
      </c>
      <c r="B181" s="234" t="s">
        <v>235</v>
      </c>
      <c r="C181" s="23" t="s">
        <v>40</v>
      </c>
      <c r="D181" s="81" t="s">
        <v>329</v>
      </c>
      <c r="E181" s="237">
        <v>2841600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8">
        <f>E181+F181+H181+J181+L181+N181+P181+R181+T181+V181+X181+Z181+AB181-G181-I181-K181-M181-O181-Q181-S181-U181-W181-Y181-AA181-AC181</f>
        <v>2841600</v>
      </c>
      <c r="AE181" s="224"/>
      <c r="AF181" s="224"/>
      <c r="AG181" s="224"/>
      <c r="AH181" s="224"/>
      <c r="AI181" s="224"/>
      <c r="AJ181" s="224"/>
      <c r="AK181" s="224"/>
      <c r="AL181" s="224"/>
      <c r="AM181" s="224">
        <f>1868.45</f>
        <v>1868.45</v>
      </c>
      <c r="AN181" s="224">
        <v>4736</v>
      </c>
      <c r="AO181" s="224">
        <f>4279.27</f>
        <v>4279.27</v>
      </c>
      <c r="AP181" s="224">
        <f>1296.58+1545.02</f>
        <v>2841.6</v>
      </c>
      <c r="AQ181" s="224">
        <f>2841.6</f>
        <v>2841.6</v>
      </c>
      <c r="AR181" s="224">
        <f>2841.6</f>
        <v>2841.6</v>
      </c>
    </row>
    <row r="182" spans="1:44" ht="13.5" customHeight="1">
      <c r="A182" s="232"/>
      <c r="B182" s="235"/>
      <c r="C182" s="24" t="s">
        <v>0</v>
      </c>
      <c r="D182" s="16" t="s">
        <v>49</v>
      </c>
      <c r="E182" s="238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9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</row>
    <row r="183" spans="1:44" ht="13.5" customHeight="1">
      <c r="A183" s="232"/>
      <c r="B183" s="235"/>
      <c r="C183" s="25" t="s">
        <v>36</v>
      </c>
      <c r="D183" s="20" t="s">
        <v>42</v>
      </c>
      <c r="E183" s="238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9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</row>
    <row r="184" spans="1:44" ht="13.5" customHeight="1">
      <c r="A184" s="232"/>
      <c r="B184" s="235"/>
      <c r="C184" s="24" t="s">
        <v>37</v>
      </c>
      <c r="D184" s="17"/>
      <c r="E184" s="238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9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</row>
    <row r="185" spans="1:44" ht="13.5" customHeight="1">
      <c r="A185" s="232"/>
      <c r="B185" s="235"/>
      <c r="C185" s="24" t="s">
        <v>38</v>
      </c>
      <c r="D185" s="21">
        <v>4736000</v>
      </c>
      <c r="E185" s="238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9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</row>
    <row r="186" spans="1:44" ht="13.5" customHeight="1">
      <c r="A186" s="232"/>
      <c r="B186" s="235"/>
      <c r="C186" s="25" t="s">
        <v>39</v>
      </c>
      <c r="D186" s="166">
        <v>47452</v>
      </c>
      <c r="E186" s="238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9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  <c r="AR186" s="224"/>
    </row>
    <row r="187" spans="1:44" ht="13.5" customHeight="1">
      <c r="A187" s="232"/>
      <c r="B187" s="235"/>
      <c r="C187" s="24" t="s">
        <v>1</v>
      </c>
      <c r="D187" s="169">
        <v>0.001</v>
      </c>
      <c r="E187" s="238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9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  <c r="AR187" s="224"/>
    </row>
    <row r="188" spans="1:44" ht="38.25" customHeight="1" thickBot="1">
      <c r="A188" s="233"/>
      <c r="B188" s="236"/>
      <c r="C188" s="26" t="s">
        <v>41</v>
      </c>
      <c r="D188" s="84" t="s">
        <v>293</v>
      </c>
      <c r="E188" s="239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30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</row>
    <row r="189" spans="1:44" ht="38.25" customHeight="1">
      <c r="A189" s="231" t="s">
        <v>246</v>
      </c>
      <c r="B189" s="234" t="s">
        <v>248</v>
      </c>
      <c r="C189" s="23" t="s">
        <v>40</v>
      </c>
      <c r="D189" s="81" t="s">
        <v>330</v>
      </c>
      <c r="E189" s="237">
        <v>609170</v>
      </c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8">
        <f>E189+F189+H189+J189+L189+N189+P189+R189+T189+V189+X189+Z189+AB189-G189-I189-K189-M189-O189-Q189-S189-U189-W189-Y189-AA189-AC189</f>
        <v>609170</v>
      </c>
      <c r="AE189" s="224"/>
      <c r="AF189" s="224"/>
      <c r="AG189" s="224"/>
      <c r="AH189" s="224"/>
      <c r="AI189" s="224"/>
      <c r="AJ189" s="224"/>
      <c r="AK189" s="224"/>
      <c r="AL189" s="224"/>
      <c r="AM189" s="224">
        <f>150.19</f>
        <v>150.19</v>
      </c>
      <c r="AN189" s="224">
        <v>1015.17</v>
      </c>
      <c r="AO189" s="224">
        <f>917.29</f>
        <v>917.29</v>
      </c>
      <c r="AP189" s="224">
        <f>277.95+331.22</f>
        <v>609.1700000000001</v>
      </c>
      <c r="AQ189" s="224">
        <f>609.17</f>
        <v>609.17</v>
      </c>
      <c r="AR189" s="224">
        <f>609.17</f>
        <v>609.17</v>
      </c>
    </row>
    <row r="190" spans="1:44" ht="13.5" customHeight="1">
      <c r="A190" s="232"/>
      <c r="B190" s="235"/>
      <c r="C190" s="24" t="s">
        <v>0</v>
      </c>
      <c r="D190" s="16" t="s">
        <v>49</v>
      </c>
      <c r="E190" s="238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9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</row>
    <row r="191" spans="1:44" ht="13.5" customHeight="1">
      <c r="A191" s="232"/>
      <c r="B191" s="235"/>
      <c r="C191" s="25" t="s">
        <v>36</v>
      </c>
      <c r="D191" s="20" t="s">
        <v>42</v>
      </c>
      <c r="E191" s="238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9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</row>
    <row r="192" spans="1:44" ht="13.5" customHeight="1">
      <c r="A192" s="232"/>
      <c r="B192" s="235"/>
      <c r="C192" s="24" t="s">
        <v>37</v>
      </c>
      <c r="D192" s="17"/>
      <c r="E192" s="238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9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</row>
    <row r="193" spans="1:44" ht="13.5" customHeight="1">
      <c r="A193" s="232"/>
      <c r="B193" s="235"/>
      <c r="C193" s="24" t="s">
        <v>38</v>
      </c>
      <c r="D193" s="21">
        <v>2890000</v>
      </c>
      <c r="E193" s="238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9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</row>
    <row r="194" spans="1:44" ht="13.5" customHeight="1">
      <c r="A194" s="232"/>
      <c r="B194" s="235"/>
      <c r="C194" s="25" t="s">
        <v>39</v>
      </c>
      <c r="D194" s="166">
        <v>47452</v>
      </c>
      <c r="E194" s="238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9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</row>
    <row r="195" spans="1:44" ht="13.5" customHeight="1">
      <c r="A195" s="232"/>
      <c r="B195" s="235"/>
      <c r="C195" s="24" t="s">
        <v>1</v>
      </c>
      <c r="D195" s="169">
        <v>0.001</v>
      </c>
      <c r="E195" s="238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9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</row>
    <row r="196" spans="1:44" ht="38.25" customHeight="1" thickBot="1">
      <c r="A196" s="233"/>
      <c r="B196" s="236"/>
      <c r="C196" s="26" t="s">
        <v>41</v>
      </c>
      <c r="D196" s="84" t="s">
        <v>293</v>
      </c>
      <c r="E196" s="239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30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</row>
    <row r="197" spans="1:44" ht="36.75" customHeight="1">
      <c r="A197" s="231" t="s">
        <v>247</v>
      </c>
      <c r="B197" s="234" t="s">
        <v>245</v>
      </c>
      <c r="C197" s="23" t="s">
        <v>40</v>
      </c>
      <c r="D197" s="81" t="s">
        <v>331</v>
      </c>
      <c r="E197" s="237">
        <v>11664000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8">
        <f>E197+F197+H197+J197+L197+N197+P197+R197+T197+V197+X197+Z197+AB197-G197-I197-K197-M197-O197-Q197-S197-U197-W197-Y197-AA197-AC197</f>
        <v>11664000</v>
      </c>
      <c r="AE197" s="224"/>
      <c r="AF197" s="224"/>
      <c r="AG197" s="224"/>
      <c r="AH197" s="224"/>
      <c r="AI197" s="224"/>
      <c r="AJ197" s="224"/>
      <c r="AK197" s="224"/>
      <c r="AL197" s="224"/>
      <c r="AM197" s="224">
        <f>2503.23</f>
        <v>2503.23</v>
      </c>
      <c r="AN197" s="224">
        <v>19440</v>
      </c>
      <c r="AO197" s="224">
        <f>17565.24</f>
        <v>17565.24</v>
      </c>
      <c r="AP197" s="224">
        <f>5322.1+6341.9</f>
        <v>11664</v>
      </c>
      <c r="AQ197" s="224">
        <f>11664</f>
        <v>11664</v>
      </c>
      <c r="AR197" s="224">
        <f>11664</f>
        <v>11664</v>
      </c>
    </row>
    <row r="198" spans="1:44" ht="13.5" customHeight="1">
      <c r="A198" s="232"/>
      <c r="B198" s="235"/>
      <c r="C198" s="24" t="s">
        <v>0</v>
      </c>
      <c r="D198" s="16" t="s">
        <v>49</v>
      </c>
      <c r="E198" s="238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9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</row>
    <row r="199" spans="1:44" ht="13.5" customHeight="1">
      <c r="A199" s="232"/>
      <c r="B199" s="235"/>
      <c r="C199" s="25" t="s">
        <v>36</v>
      </c>
      <c r="D199" s="20" t="s">
        <v>42</v>
      </c>
      <c r="E199" s="238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9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  <c r="AR199" s="224"/>
    </row>
    <row r="200" spans="1:44" ht="13.5" customHeight="1">
      <c r="A200" s="232"/>
      <c r="B200" s="235"/>
      <c r="C200" s="24" t="s">
        <v>37</v>
      </c>
      <c r="D200" s="17"/>
      <c r="E200" s="238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9"/>
      <c r="AE200" s="224"/>
      <c r="AF200" s="224"/>
      <c r="AG200" s="224"/>
      <c r="AH200" s="224"/>
      <c r="AI200" s="224"/>
      <c r="AJ200" s="224"/>
      <c r="AK200" s="224"/>
      <c r="AL200" s="224"/>
      <c r="AM200" s="224"/>
      <c r="AN200" s="224"/>
      <c r="AO200" s="224"/>
      <c r="AP200" s="224"/>
      <c r="AQ200" s="224"/>
      <c r="AR200" s="224"/>
    </row>
    <row r="201" spans="1:44" ht="13.5" customHeight="1">
      <c r="A201" s="232"/>
      <c r="B201" s="235"/>
      <c r="C201" s="24" t="s">
        <v>38</v>
      </c>
      <c r="D201" s="21">
        <v>19440000</v>
      </c>
      <c r="E201" s="238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9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</row>
    <row r="202" spans="1:44" ht="13.5" customHeight="1">
      <c r="A202" s="232"/>
      <c r="B202" s="235"/>
      <c r="C202" s="25" t="s">
        <v>39</v>
      </c>
      <c r="D202" s="166">
        <v>47452</v>
      </c>
      <c r="E202" s="238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9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</row>
    <row r="203" spans="1:44" ht="13.5" customHeight="1">
      <c r="A203" s="232"/>
      <c r="B203" s="235"/>
      <c r="C203" s="24" t="s">
        <v>1</v>
      </c>
      <c r="D203" s="169">
        <v>0.001</v>
      </c>
      <c r="E203" s="238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9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</row>
    <row r="204" spans="1:44" ht="38.25" customHeight="1" thickBot="1">
      <c r="A204" s="233"/>
      <c r="B204" s="236"/>
      <c r="C204" s="26" t="s">
        <v>41</v>
      </c>
      <c r="D204" s="84" t="s">
        <v>293</v>
      </c>
      <c r="E204" s="239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30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</row>
    <row r="205" spans="1:44" ht="36.75" customHeight="1">
      <c r="A205" s="231" t="s">
        <v>257</v>
      </c>
      <c r="B205" s="234" t="s">
        <v>256</v>
      </c>
      <c r="C205" s="23" t="s">
        <v>40</v>
      </c>
      <c r="D205" s="81" t="s">
        <v>332</v>
      </c>
      <c r="E205" s="237">
        <v>3810000</v>
      </c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8">
        <f>E205+F205+H205+J205+L205+N205+P205+R205+T205+V205+X205+Z205+AB205-G205-I205-K205-M205-O205-Q205-S205-U205-W205-Y205-AA205-AC205</f>
        <v>3810000</v>
      </c>
      <c r="AE205" s="224"/>
      <c r="AF205" s="224"/>
      <c r="AG205" s="224"/>
      <c r="AH205" s="224"/>
      <c r="AI205" s="224"/>
      <c r="AJ205" s="224"/>
      <c r="AK205" s="224"/>
      <c r="AL205" s="224"/>
      <c r="AM205" s="224">
        <v>104.38</v>
      </c>
      <c r="AN205" s="224">
        <v>6350</v>
      </c>
      <c r="AO205" s="224">
        <f>5737.62</f>
        <v>5737.62</v>
      </c>
      <c r="AP205" s="224">
        <f>1738.44+2071.56</f>
        <v>3810</v>
      </c>
      <c r="AQ205" s="224">
        <f>3810</f>
        <v>3810</v>
      </c>
      <c r="AR205" s="224">
        <f>3810</f>
        <v>3810</v>
      </c>
    </row>
    <row r="206" spans="1:44" ht="13.5" customHeight="1">
      <c r="A206" s="232"/>
      <c r="B206" s="235"/>
      <c r="C206" s="24" t="s">
        <v>0</v>
      </c>
      <c r="D206" s="16" t="s">
        <v>49</v>
      </c>
      <c r="E206" s="238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9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  <c r="AR206" s="224"/>
    </row>
    <row r="207" spans="1:44" ht="13.5" customHeight="1">
      <c r="A207" s="232"/>
      <c r="B207" s="235"/>
      <c r="C207" s="25" t="s">
        <v>36</v>
      </c>
      <c r="D207" s="20" t="s">
        <v>42</v>
      </c>
      <c r="E207" s="238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9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</row>
    <row r="208" spans="1:44" ht="13.5" customHeight="1">
      <c r="A208" s="232"/>
      <c r="B208" s="235"/>
      <c r="C208" s="24" t="s">
        <v>37</v>
      </c>
      <c r="D208" s="17"/>
      <c r="E208" s="238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9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</row>
    <row r="209" spans="1:44" ht="13.5" customHeight="1">
      <c r="A209" s="232"/>
      <c r="B209" s="235"/>
      <c r="C209" s="24" t="s">
        <v>38</v>
      </c>
      <c r="D209" s="21">
        <v>6350000</v>
      </c>
      <c r="E209" s="238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9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</row>
    <row r="210" spans="1:44" ht="13.5" customHeight="1">
      <c r="A210" s="232"/>
      <c r="B210" s="235"/>
      <c r="C210" s="25" t="s">
        <v>39</v>
      </c>
      <c r="D210" s="166">
        <v>47452</v>
      </c>
      <c r="E210" s="238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9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</row>
    <row r="211" spans="1:44" ht="13.5" customHeight="1">
      <c r="A211" s="232"/>
      <c r="B211" s="235"/>
      <c r="C211" s="24" t="s">
        <v>1</v>
      </c>
      <c r="D211" s="169">
        <v>0.001</v>
      </c>
      <c r="E211" s="238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9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</row>
    <row r="212" spans="1:44" ht="38.25" customHeight="1" thickBot="1">
      <c r="A212" s="233"/>
      <c r="B212" s="236"/>
      <c r="C212" s="26" t="s">
        <v>41</v>
      </c>
      <c r="D212" s="84" t="s">
        <v>293</v>
      </c>
      <c r="E212" s="239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30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</row>
    <row r="213" spans="1:44" ht="35.25" customHeight="1">
      <c r="A213" s="231" t="s">
        <v>258</v>
      </c>
      <c r="B213" s="234" t="s">
        <v>259</v>
      </c>
      <c r="C213" s="23" t="s">
        <v>40</v>
      </c>
      <c r="D213" s="81" t="s">
        <v>333</v>
      </c>
      <c r="E213" s="237">
        <v>2449800</v>
      </c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8">
        <f>E213+F213+H213+J213+L213+N213+P213+R213+T213+V213+X213+Z213+AB213-G213-I213-K213-M213-O213-Q213-S213-U213-W213-Y213-AA213-AC213</f>
        <v>2449800</v>
      </c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>
        <v>4714.95</v>
      </c>
      <c r="AO213" s="224">
        <f>6124.4</f>
        <v>6124.4</v>
      </c>
      <c r="AP213" s="224">
        <f>4792.4+1332</f>
        <v>6124.4</v>
      </c>
      <c r="AQ213" s="224">
        <f>2943.1</f>
        <v>2943.1</v>
      </c>
      <c r="AR213" s="224">
        <f>2449.8</f>
        <v>2449.8</v>
      </c>
    </row>
    <row r="214" spans="1:44" ht="13.5" customHeight="1">
      <c r="A214" s="232"/>
      <c r="B214" s="235"/>
      <c r="C214" s="24" t="s">
        <v>0</v>
      </c>
      <c r="D214" s="16" t="s">
        <v>49</v>
      </c>
      <c r="E214" s="238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9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</row>
    <row r="215" spans="1:44" ht="13.5" customHeight="1">
      <c r="A215" s="232"/>
      <c r="B215" s="235"/>
      <c r="C215" s="25" t="s">
        <v>36</v>
      </c>
      <c r="D215" s="20" t="s">
        <v>42</v>
      </c>
      <c r="E215" s="238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9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</row>
    <row r="216" spans="1:44" ht="13.5" customHeight="1">
      <c r="A216" s="232"/>
      <c r="B216" s="235"/>
      <c r="C216" s="24" t="s">
        <v>37</v>
      </c>
      <c r="D216" s="17"/>
      <c r="E216" s="238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9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</row>
    <row r="217" spans="1:44" ht="13.5" customHeight="1">
      <c r="A217" s="232"/>
      <c r="B217" s="235"/>
      <c r="C217" s="24" t="s">
        <v>38</v>
      </c>
      <c r="D217" s="21">
        <v>6124400</v>
      </c>
      <c r="E217" s="238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9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224"/>
    </row>
    <row r="218" spans="1:44" ht="13.5" customHeight="1">
      <c r="A218" s="232"/>
      <c r="B218" s="235"/>
      <c r="C218" s="25" t="s">
        <v>39</v>
      </c>
      <c r="D218" s="166">
        <v>47452</v>
      </c>
      <c r="E218" s="238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9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</row>
    <row r="219" spans="1:44" ht="13.5" customHeight="1">
      <c r="A219" s="232"/>
      <c r="B219" s="235"/>
      <c r="C219" s="24" t="s">
        <v>1</v>
      </c>
      <c r="D219" s="169">
        <v>0.001</v>
      </c>
      <c r="E219" s="238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9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</row>
    <row r="220" spans="1:44" ht="38.25" customHeight="1" thickBot="1">
      <c r="A220" s="233"/>
      <c r="B220" s="236"/>
      <c r="C220" s="26" t="s">
        <v>41</v>
      </c>
      <c r="D220" s="84" t="s">
        <v>293</v>
      </c>
      <c r="E220" s="239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30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</row>
    <row r="221" spans="1:44" ht="40.5" customHeight="1">
      <c r="A221" s="231" t="s">
        <v>263</v>
      </c>
      <c r="B221" s="234" t="s">
        <v>264</v>
      </c>
      <c r="C221" s="23" t="s">
        <v>40</v>
      </c>
      <c r="D221" s="81" t="s">
        <v>334</v>
      </c>
      <c r="E221" s="237">
        <v>295700</v>
      </c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8">
        <f>E221+F221+H221+J221+L221+N221+P221+R221+T221+V221+X221+Z221+AB221-G221-I221-K221-M221-O221-Q221-S221-U221-W221-Y221-AA221-AC221</f>
        <v>295700</v>
      </c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>
        <v>506.37</v>
      </c>
      <c r="AO221" s="224">
        <f>739.3</f>
        <v>739.3</v>
      </c>
      <c r="AP221" s="224">
        <f>578.52+160.78</f>
        <v>739.3</v>
      </c>
      <c r="AQ221" s="224">
        <f>386.85</f>
        <v>386.85</v>
      </c>
      <c r="AR221" s="224">
        <f>295.7</f>
        <v>295.7</v>
      </c>
    </row>
    <row r="222" spans="1:44" ht="13.5" customHeight="1">
      <c r="A222" s="232"/>
      <c r="B222" s="235"/>
      <c r="C222" s="24" t="s">
        <v>0</v>
      </c>
      <c r="D222" s="16" t="s">
        <v>49</v>
      </c>
      <c r="E222" s="238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9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</row>
    <row r="223" spans="1:44" ht="13.5" customHeight="1">
      <c r="A223" s="232"/>
      <c r="B223" s="235"/>
      <c r="C223" s="25" t="s">
        <v>36</v>
      </c>
      <c r="D223" s="20" t="s">
        <v>42</v>
      </c>
      <c r="E223" s="238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9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</row>
    <row r="224" spans="1:44" ht="13.5" customHeight="1">
      <c r="A224" s="232"/>
      <c r="B224" s="235"/>
      <c r="C224" s="24" t="s">
        <v>37</v>
      </c>
      <c r="D224" s="17"/>
      <c r="E224" s="238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9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  <c r="AR224" s="224"/>
    </row>
    <row r="225" spans="1:44" ht="13.5" customHeight="1">
      <c r="A225" s="232"/>
      <c r="B225" s="235"/>
      <c r="C225" s="24" t="s">
        <v>38</v>
      </c>
      <c r="D225" s="21">
        <v>739300</v>
      </c>
      <c r="E225" s="238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9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  <c r="AR225" s="224"/>
    </row>
    <row r="226" spans="1:44" ht="13.5" customHeight="1">
      <c r="A226" s="232"/>
      <c r="B226" s="235"/>
      <c r="C226" s="25" t="s">
        <v>39</v>
      </c>
      <c r="D226" s="166">
        <v>47452</v>
      </c>
      <c r="E226" s="238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9"/>
      <c r="AE226" s="224"/>
      <c r="AF226" s="224"/>
      <c r="AG226" s="224"/>
      <c r="AH226" s="224"/>
      <c r="AI226" s="224"/>
      <c r="AJ226" s="224"/>
      <c r="AK226" s="224"/>
      <c r="AL226" s="224"/>
      <c r="AM226" s="224"/>
      <c r="AN226" s="224"/>
      <c r="AO226" s="224"/>
      <c r="AP226" s="224"/>
      <c r="AQ226" s="224"/>
      <c r="AR226" s="224"/>
    </row>
    <row r="227" spans="1:44" ht="13.5" customHeight="1">
      <c r="A227" s="232"/>
      <c r="B227" s="235"/>
      <c r="C227" s="24" t="s">
        <v>1</v>
      </c>
      <c r="D227" s="169">
        <v>0.001</v>
      </c>
      <c r="E227" s="238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9"/>
      <c r="AE227" s="224"/>
      <c r="AF227" s="224"/>
      <c r="AG227" s="224"/>
      <c r="AH227" s="224"/>
      <c r="AI227" s="224"/>
      <c r="AJ227" s="224"/>
      <c r="AK227" s="224"/>
      <c r="AL227" s="224"/>
      <c r="AM227" s="224"/>
      <c r="AN227" s="224"/>
      <c r="AO227" s="224"/>
      <c r="AP227" s="224"/>
      <c r="AQ227" s="224"/>
      <c r="AR227" s="224"/>
    </row>
    <row r="228" spans="1:44" ht="37.5" customHeight="1" thickBot="1">
      <c r="A228" s="233"/>
      <c r="B228" s="236"/>
      <c r="C228" s="26" t="s">
        <v>41</v>
      </c>
      <c r="D228" s="84" t="s">
        <v>293</v>
      </c>
      <c r="E228" s="239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30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</row>
    <row r="229" spans="1:44" ht="36.75" customHeight="1">
      <c r="A229" s="231" t="s">
        <v>266</v>
      </c>
      <c r="B229" s="234" t="s">
        <v>265</v>
      </c>
      <c r="C229" s="23" t="s">
        <v>40</v>
      </c>
      <c r="D229" s="81" t="s">
        <v>335</v>
      </c>
      <c r="E229" s="237">
        <v>2449800</v>
      </c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8">
        <f>E229+F229+H229+J229+L229+N229+P229+R229+T229+V229+X229+Z229+AB229-G229-I229-K229-M229-O229-Q229-S229-U229-W229-Y229-AA229-AC229</f>
        <v>2449800</v>
      </c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>
        <v>2802.12</v>
      </c>
      <c r="AO229" s="224">
        <f>6124.4</f>
        <v>6124.4</v>
      </c>
      <c r="AP229" s="224">
        <f>4792.4+1332</f>
        <v>6124.4</v>
      </c>
      <c r="AQ229" s="224">
        <f>4151.19</f>
        <v>4151.19</v>
      </c>
      <c r="AR229" s="224">
        <f>2449.8</f>
        <v>2449.8</v>
      </c>
    </row>
    <row r="230" spans="1:44" ht="13.5" customHeight="1">
      <c r="A230" s="232"/>
      <c r="B230" s="235"/>
      <c r="C230" s="24" t="s">
        <v>0</v>
      </c>
      <c r="D230" s="16" t="s">
        <v>49</v>
      </c>
      <c r="E230" s="238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9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</row>
    <row r="231" spans="1:44" ht="13.5" customHeight="1">
      <c r="A231" s="232"/>
      <c r="B231" s="235"/>
      <c r="C231" s="25" t="s">
        <v>36</v>
      </c>
      <c r="D231" s="20" t="s">
        <v>42</v>
      </c>
      <c r="E231" s="238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9"/>
      <c r="AE231" s="224"/>
      <c r="AF231" s="224"/>
      <c r="AG231" s="224"/>
      <c r="AH231" s="224"/>
      <c r="AI231" s="224"/>
      <c r="AJ231" s="224"/>
      <c r="AK231" s="224"/>
      <c r="AL231" s="224"/>
      <c r="AM231" s="224"/>
      <c r="AN231" s="224"/>
      <c r="AO231" s="224"/>
      <c r="AP231" s="224"/>
      <c r="AQ231" s="224"/>
      <c r="AR231" s="224"/>
    </row>
    <row r="232" spans="1:44" ht="13.5" customHeight="1">
      <c r="A232" s="232"/>
      <c r="B232" s="235"/>
      <c r="C232" s="24" t="s">
        <v>37</v>
      </c>
      <c r="D232" s="17"/>
      <c r="E232" s="238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9"/>
      <c r="AE232" s="224"/>
      <c r="AF232" s="224"/>
      <c r="AG232" s="224"/>
      <c r="AH232" s="224"/>
      <c r="AI232" s="224"/>
      <c r="AJ232" s="224"/>
      <c r="AK232" s="224"/>
      <c r="AL232" s="224"/>
      <c r="AM232" s="224"/>
      <c r="AN232" s="224"/>
      <c r="AO232" s="224"/>
      <c r="AP232" s="224"/>
      <c r="AQ232" s="224"/>
      <c r="AR232" s="224"/>
    </row>
    <row r="233" spans="1:44" ht="13.5" customHeight="1">
      <c r="A233" s="232"/>
      <c r="B233" s="235"/>
      <c r="C233" s="24" t="s">
        <v>38</v>
      </c>
      <c r="D233" s="21">
        <v>6124400</v>
      </c>
      <c r="E233" s="238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9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</row>
    <row r="234" spans="1:44" ht="13.5" customHeight="1">
      <c r="A234" s="232"/>
      <c r="B234" s="235"/>
      <c r="C234" s="25" t="s">
        <v>39</v>
      </c>
      <c r="D234" s="166">
        <v>47452</v>
      </c>
      <c r="E234" s="238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9"/>
      <c r="AE234" s="224"/>
      <c r="AF234" s="224"/>
      <c r="AG234" s="224"/>
      <c r="AH234" s="224"/>
      <c r="AI234" s="224"/>
      <c r="AJ234" s="224"/>
      <c r="AK234" s="224"/>
      <c r="AL234" s="224"/>
      <c r="AM234" s="224"/>
      <c r="AN234" s="224"/>
      <c r="AO234" s="224"/>
      <c r="AP234" s="224"/>
      <c r="AQ234" s="224"/>
      <c r="AR234" s="224"/>
    </row>
    <row r="235" spans="1:44" ht="13.5" customHeight="1">
      <c r="A235" s="232"/>
      <c r="B235" s="235"/>
      <c r="C235" s="24" t="s">
        <v>1</v>
      </c>
      <c r="D235" s="169">
        <v>0.001</v>
      </c>
      <c r="E235" s="238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9"/>
      <c r="AE235" s="224"/>
      <c r="AF235" s="224"/>
      <c r="AG235" s="224"/>
      <c r="AH235" s="224"/>
      <c r="AI235" s="224"/>
      <c r="AJ235" s="224"/>
      <c r="AK235" s="224"/>
      <c r="AL235" s="224"/>
      <c r="AM235" s="224"/>
      <c r="AN235" s="224"/>
      <c r="AO235" s="224"/>
      <c r="AP235" s="224"/>
      <c r="AQ235" s="224"/>
      <c r="AR235" s="224"/>
    </row>
    <row r="236" spans="1:44" ht="37.5" customHeight="1" thickBot="1">
      <c r="A236" s="233"/>
      <c r="B236" s="236"/>
      <c r="C236" s="26" t="s">
        <v>41</v>
      </c>
      <c r="D236" s="84" t="s">
        <v>293</v>
      </c>
      <c r="E236" s="239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30"/>
      <c r="AE236" s="224"/>
      <c r="AF236" s="224"/>
      <c r="AG236" s="224"/>
      <c r="AH236" s="224"/>
      <c r="AI236" s="224"/>
      <c r="AJ236" s="224"/>
      <c r="AK236" s="224"/>
      <c r="AL236" s="224"/>
      <c r="AM236" s="224"/>
      <c r="AN236" s="224"/>
      <c r="AO236" s="224"/>
      <c r="AP236" s="224"/>
      <c r="AQ236" s="224"/>
      <c r="AR236" s="224"/>
    </row>
    <row r="237" spans="1:44" ht="37.5" customHeight="1">
      <c r="A237" s="231" t="s">
        <v>267</v>
      </c>
      <c r="B237" s="234" t="s">
        <v>268</v>
      </c>
      <c r="C237" s="23" t="s">
        <v>40</v>
      </c>
      <c r="D237" s="81" t="s">
        <v>336</v>
      </c>
      <c r="E237" s="237">
        <v>3779500</v>
      </c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8">
        <f>E237+F237+H237+J237+L237+N237+P237+R237+T237+V237+X237+Z237+AB237-G237-I237-K237-M237-O237-Q237-S237-U237-W237-Y237-AA237-AC237</f>
        <v>3779500</v>
      </c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4">
        <v>2329.84</v>
      </c>
      <c r="AO237" s="224">
        <f>9448.8</f>
        <v>9448.8</v>
      </c>
      <c r="AP237" s="224">
        <f>7393.83+2054.97</f>
        <v>9448.8</v>
      </c>
      <c r="AQ237" s="224">
        <f>6404.46</f>
        <v>6404.46</v>
      </c>
      <c r="AR237" s="224">
        <f>3779.5</f>
        <v>3779.5</v>
      </c>
    </row>
    <row r="238" spans="1:44" ht="13.5" customHeight="1">
      <c r="A238" s="232"/>
      <c r="B238" s="235"/>
      <c r="C238" s="24" t="s">
        <v>0</v>
      </c>
      <c r="D238" s="16" t="s">
        <v>49</v>
      </c>
      <c r="E238" s="238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9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</row>
    <row r="239" spans="1:44" ht="13.5" customHeight="1">
      <c r="A239" s="232"/>
      <c r="B239" s="235"/>
      <c r="C239" s="25" t="s">
        <v>36</v>
      </c>
      <c r="D239" s="20" t="s">
        <v>42</v>
      </c>
      <c r="E239" s="238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9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  <c r="AR239" s="224"/>
    </row>
    <row r="240" spans="1:44" ht="13.5" customHeight="1">
      <c r="A240" s="232"/>
      <c r="B240" s="235"/>
      <c r="C240" s="24" t="s">
        <v>37</v>
      </c>
      <c r="D240" s="17"/>
      <c r="E240" s="238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9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  <c r="AR240" s="224"/>
    </row>
    <row r="241" spans="1:44" ht="13.5" customHeight="1">
      <c r="A241" s="232"/>
      <c r="B241" s="235"/>
      <c r="C241" s="24" t="s">
        <v>38</v>
      </c>
      <c r="D241" s="21">
        <v>9448800</v>
      </c>
      <c r="E241" s="238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9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  <c r="AR241" s="224"/>
    </row>
    <row r="242" spans="1:44" ht="13.5" customHeight="1">
      <c r="A242" s="232"/>
      <c r="B242" s="235"/>
      <c r="C242" s="25" t="s">
        <v>39</v>
      </c>
      <c r="D242" s="166">
        <v>47452</v>
      </c>
      <c r="E242" s="238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9"/>
      <c r="AE242" s="224"/>
      <c r="AF242" s="224"/>
      <c r="AG242" s="224"/>
      <c r="AH242" s="224"/>
      <c r="AI242" s="224"/>
      <c r="AJ242" s="224"/>
      <c r="AK242" s="224"/>
      <c r="AL242" s="224"/>
      <c r="AM242" s="224"/>
      <c r="AN242" s="224"/>
      <c r="AO242" s="224"/>
      <c r="AP242" s="224"/>
      <c r="AQ242" s="224"/>
      <c r="AR242" s="224"/>
    </row>
    <row r="243" spans="1:44" ht="13.5" customHeight="1">
      <c r="A243" s="232"/>
      <c r="B243" s="235"/>
      <c r="C243" s="24" t="s">
        <v>1</v>
      </c>
      <c r="D243" s="169">
        <v>0.001</v>
      </c>
      <c r="E243" s="238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9"/>
      <c r="AE243" s="224"/>
      <c r="AF243" s="224"/>
      <c r="AG243" s="224"/>
      <c r="AH243" s="224"/>
      <c r="AI243" s="224"/>
      <c r="AJ243" s="224"/>
      <c r="AK243" s="224"/>
      <c r="AL243" s="224"/>
      <c r="AM243" s="224"/>
      <c r="AN243" s="224"/>
      <c r="AO243" s="224"/>
      <c r="AP243" s="224"/>
      <c r="AQ243" s="224"/>
      <c r="AR243" s="224"/>
    </row>
    <row r="244" spans="1:44" ht="37.5" customHeight="1" thickBot="1">
      <c r="A244" s="233"/>
      <c r="B244" s="236"/>
      <c r="C244" s="26" t="s">
        <v>41</v>
      </c>
      <c r="D244" s="84" t="s">
        <v>293</v>
      </c>
      <c r="E244" s="239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30"/>
      <c r="AE244" s="224"/>
      <c r="AF244" s="224"/>
      <c r="AG244" s="224"/>
      <c r="AH244" s="224"/>
      <c r="AI244" s="224"/>
      <c r="AJ244" s="224"/>
      <c r="AK244" s="224"/>
      <c r="AL244" s="224"/>
      <c r="AM244" s="224"/>
      <c r="AN244" s="224"/>
      <c r="AO244" s="224"/>
      <c r="AP244" s="224"/>
      <c r="AQ244" s="224"/>
      <c r="AR244" s="224"/>
    </row>
    <row r="245" spans="1:44" ht="38.25" customHeight="1">
      <c r="A245" s="231" t="s">
        <v>274</v>
      </c>
      <c r="B245" s="234" t="s">
        <v>275</v>
      </c>
      <c r="C245" s="23" t="s">
        <v>40</v>
      </c>
      <c r="D245" s="81" t="s">
        <v>337</v>
      </c>
      <c r="E245" s="237">
        <v>3143000</v>
      </c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8">
        <f>E245+F245+H245+J245+L245+N245+P245+R245+T245+V245+X245+Z245+AB245-G245-I245-K245-M245-O245-Q245-S245-U245-W245-Y245-AA245-AC245</f>
        <v>3143000</v>
      </c>
      <c r="AE245" s="224"/>
      <c r="AF245" s="224"/>
      <c r="AG245" s="224"/>
      <c r="AH245" s="224"/>
      <c r="AI245" s="224"/>
      <c r="AJ245" s="224"/>
      <c r="AK245" s="224"/>
      <c r="AL245" s="224"/>
      <c r="AM245" s="224"/>
      <c r="AN245" s="224"/>
      <c r="AO245" s="224">
        <f>2109.55</f>
        <v>2109.55</v>
      </c>
      <c r="AP245" s="224">
        <f>5238</f>
        <v>5238</v>
      </c>
      <c r="AQ245" s="224">
        <f>4824.74</f>
        <v>4824.74</v>
      </c>
      <c r="AR245" s="224">
        <f>1351.92+1791.08</f>
        <v>3143</v>
      </c>
    </row>
    <row r="246" spans="1:44" ht="13.5" customHeight="1">
      <c r="A246" s="232"/>
      <c r="B246" s="235"/>
      <c r="C246" s="24" t="s">
        <v>0</v>
      </c>
      <c r="D246" s="16" t="s">
        <v>49</v>
      </c>
      <c r="E246" s="238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9"/>
      <c r="AE246" s="224"/>
      <c r="AF246" s="224"/>
      <c r="AG246" s="224"/>
      <c r="AH246" s="224"/>
      <c r="AI246" s="224"/>
      <c r="AJ246" s="224"/>
      <c r="AK246" s="224"/>
      <c r="AL246" s="224"/>
      <c r="AM246" s="224"/>
      <c r="AN246" s="224"/>
      <c r="AO246" s="224"/>
      <c r="AP246" s="224"/>
      <c r="AQ246" s="224"/>
      <c r="AR246" s="224"/>
    </row>
    <row r="247" spans="1:44" ht="13.5" customHeight="1">
      <c r="A247" s="232"/>
      <c r="B247" s="235"/>
      <c r="C247" s="25" t="s">
        <v>36</v>
      </c>
      <c r="D247" s="20" t="s">
        <v>42</v>
      </c>
      <c r="E247" s="238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9"/>
      <c r="AE247" s="224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  <c r="AR247" s="224"/>
    </row>
    <row r="248" spans="1:44" ht="13.5" customHeight="1">
      <c r="A248" s="232"/>
      <c r="B248" s="235"/>
      <c r="C248" s="24" t="s">
        <v>37</v>
      </c>
      <c r="D248" s="17"/>
      <c r="E248" s="238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9"/>
      <c r="AE248" s="224"/>
      <c r="AF248" s="224"/>
      <c r="AG248" s="224"/>
      <c r="AH248" s="224"/>
      <c r="AI248" s="224"/>
      <c r="AJ248" s="224"/>
      <c r="AK248" s="224"/>
      <c r="AL248" s="224"/>
      <c r="AM248" s="224"/>
      <c r="AN248" s="224"/>
      <c r="AO248" s="224"/>
      <c r="AP248" s="224"/>
      <c r="AQ248" s="224"/>
      <c r="AR248" s="224"/>
    </row>
    <row r="249" spans="1:44" ht="13.5" customHeight="1">
      <c r="A249" s="232"/>
      <c r="B249" s="235"/>
      <c r="C249" s="24" t="s">
        <v>38</v>
      </c>
      <c r="D249" s="21">
        <v>5238000</v>
      </c>
      <c r="E249" s="238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9"/>
      <c r="AE249" s="224"/>
      <c r="AF249" s="224"/>
      <c r="AG249" s="224"/>
      <c r="AH249" s="224"/>
      <c r="AI249" s="224"/>
      <c r="AJ249" s="224"/>
      <c r="AK249" s="224"/>
      <c r="AL249" s="224"/>
      <c r="AM249" s="224"/>
      <c r="AN249" s="224"/>
      <c r="AO249" s="224"/>
      <c r="AP249" s="224"/>
      <c r="AQ249" s="224"/>
      <c r="AR249" s="224"/>
    </row>
    <row r="250" spans="1:44" ht="13.5" customHeight="1">
      <c r="A250" s="232"/>
      <c r="B250" s="235"/>
      <c r="C250" s="25" t="s">
        <v>39</v>
      </c>
      <c r="D250" s="166">
        <v>44775</v>
      </c>
      <c r="E250" s="238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9"/>
      <c r="AE250" s="224"/>
      <c r="AF250" s="224"/>
      <c r="AG250" s="224"/>
      <c r="AH250" s="224"/>
      <c r="AI250" s="224"/>
      <c r="AJ250" s="224"/>
      <c r="AK250" s="224"/>
      <c r="AL250" s="224"/>
      <c r="AM250" s="224"/>
      <c r="AN250" s="224"/>
      <c r="AO250" s="224"/>
      <c r="AP250" s="224"/>
      <c r="AQ250" s="224"/>
      <c r="AR250" s="224"/>
    </row>
    <row r="251" spans="1:44" ht="13.5" customHeight="1">
      <c r="A251" s="232"/>
      <c r="B251" s="235"/>
      <c r="C251" s="24" t="s">
        <v>1</v>
      </c>
      <c r="D251" s="169">
        <v>0.001</v>
      </c>
      <c r="E251" s="238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9"/>
      <c r="AE251" s="224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  <c r="AR251" s="224"/>
    </row>
    <row r="252" spans="1:44" ht="17.25" customHeight="1" thickBot="1">
      <c r="A252" s="233"/>
      <c r="B252" s="236"/>
      <c r="C252" s="26" t="s">
        <v>41</v>
      </c>
      <c r="D252" s="84" t="s">
        <v>83</v>
      </c>
      <c r="E252" s="239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30"/>
      <c r="AE252" s="224"/>
      <c r="AF252" s="224"/>
      <c r="AG252" s="224"/>
      <c r="AH252" s="224"/>
      <c r="AI252" s="224"/>
      <c r="AJ252" s="224"/>
      <c r="AK252" s="224"/>
      <c r="AL252" s="224"/>
      <c r="AM252" s="224"/>
      <c r="AN252" s="224"/>
      <c r="AO252" s="224"/>
      <c r="AP252" s="224"/>
      <c r="AQ252" s="224"/>
      <c r="AR252" s="224"/>
    </row>
    <row r="253" spans="1:44" ht="35.25" customHeight="1">
      <c r="A253" s="231" t="s">
        <v>276</v>
      </c>
      <c r="B253" s="234" t="s">
        <v>279</v>
      </c>
      <c r="C253" s="23" t="s">
        <v>40</v>
      </c>
      <c r="D253" s="81" t="s">
        <v>338</v>
      </c>
      <c r="E253" s="237">
        <v>10074400</v>
      </c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8">
        <f>E253+F253+H253+J253+L253+N253+P253+R253+T253+V253+X253+Z253+AB253-G253-I253-K253-M253-O253-Q253-S253-U253-W253-Y253-AA253-AC253</f>
        <v>10074400</v>
      </c>
      <c r="AE253" s="224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>
        <f>4094.15</f>
        <v>4094.15</v>
      </c>
      <c r="AP253" s="224">
        <f>16790.6</f>
        <v>16790.6</v>
      </c>
      <c r="AQ253" s="224">
        <f>15465.76</f>
        <v>15465.76</v>
      </c>
      <c r="AR253" s="224">
        <f>4333.37+5741.03</f>
        <v>10074.4</v>
      </c>
    </row>
    <row r="254" spans="1:44" ht="13.5" customHeight="1">
      <c r="A254" s="232"/>
      <c r="B254" s="235"/>
      <c r="C254" s="24" t="s">
        <v>0</v>
      </c>
      <c r="D254" s="16" t="s">
        <v>49</v>
      </c>
      <c r="E254" s="238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9"/>
      <c r="AE254" s="224"/>
      <c r="AF254" s="224"/>
      <c r="AG254" s="224"/>
      <c r="AH254" s="224"/>
      <c r="AI254" s="224"/>
      <c r="AJ254" s="224"/>
      <c r="AK254" s="224"/>
      <c r="AL254" s="224"/>
      <c r="AM254" s="224"/>
      <c r="AN254" s="224"/>
      <c r="AO254" s="224"/>
      <c r="AP254" s="224"/>
      <c r="AQ254" s="224"/>
      <c r="AR254" s="224"/>
    </row>
    <row r="255" spans="1:44" ht="13.5" customHeight="1">
      <c r="A255" s="232"/>
      <c r="B255" s="235"/>
      <c r="C255" s="25" t="s">
        <v>36</v>
      </c>
      <c r="D255" s="20" t="s">
        <v>42</v>
      </c>
      <c r="E255" s="238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9"/>
      <c r="AE255" s="224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  <c r="AR255" s="224"/>
    </row>
    <row r="256" spans="1:44" ht="13.5" customHeight="1">
      <c r="A256" s="232"/>
      <c r="B256" s="235"/>
      <c r="C256" s="24" t="s">
        <v>37</v>
      </c>
      <c r="D256" s="17"/>
      <c r="E256" s="238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9"/>
      <c r="AE256" s="224"/>
      <c r="AF256" s="224"/>
      <c r="AG256" s="224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224"/>
      <c r="AR256" s="224"/>
    </row>
    <row r="257" spans="1:44" ht="13.5" customHeight="1">
      <c r="A257" s="232"/>
      <c r="B257" s="235"/>
      <c r="C257" s="24" t="s">
        <v>38</v>
      </c>
      <c r="D257" s="21">
        <v>16790600</v>
      </c>
      <c r="E257" s="238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9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  <c r="AR257" s="224"/>
    </row>
    <row r="258" spans="1:44" ht="13.5" customHeight="1">
      <c r="A258" s="232"/>
      <c r="B258" s="235"/>
      <c r="C258" s="25" t="s">
        <v>39</v>
      </c>
      <c r="D258" s="166">
        <v>44824</v>
      </c>
      <c r="E258" s="238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9"/>
      <c r="AE258" s="224"/>
      <c r="AF258" s="224"/>
      <c r="AG258" s="224"/>
      <c r="AH258" s="224"/>
      <c r="AI258" s="224"/>
      <c r="AJ258" s="224"/>
      <c r="AK258" s="224"/>
      <c r="AL258" s="224"/>
      <c r="AM258" s="224"/>
      <c r="AN258" s="224"/>
      <c r="AO258" s="224"/>
      <c r="AP258" s="224"/>
      <c r="AQ258" s="224"/>
      <c r="AR258" s="224"/>
    </row>
    <row r="259" spans="1:44" ht="13.5" customHeight="1">
      <c r="A259" s="232"/>
      <c r="B259" s="235"/>
      <c r="C259" s="24" t="s">
        <v>1</v>
      </c>
      <c r="D259" s="169">
        <v>0.001</v>
      </c>
      <c r="E259" s="238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9"/>
      <c r="AE259" s="224"/>
      <c r="AF259" s="224"/>
      <c r="AG259" s="224"/>
      <c r="AH259" s="224"/>
      <c r="AI259" s="224"/>
      <c r="AJ259" s="224"/>
      <c r="AK259" s="224"/>
      <c r="AL259" s="224"/>
      <c r="AM259" s="224"/>
      <c r="AN259" s="224"/>
      <c r="AO259" s="224"/>
      <c r="AP259" s="224"/>
      <c r="AQ259" s="224"/>
      <c r="AR259" s="224"/>
    </row>
    <row r="260" spans="1:44" ht="17.25" customHeight="1" thickBot="1">
      <c r="A260" s="233"/>
      <c r="B260" s="236"/>
      <c r="C260" s="26" t="s">
        <v>41</v>
      </c>
      <c r="D260" s="84" t="s">
        <v>83</v>
      </c>
      <c r="E260" s="239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30"/>
      <c r="AE260" s="224"/>
      <c r="AF260" s="224"/>
      <c r="AG260" s="224"/>
      <c r="AH260" s="224"/>
      <c r="AI260" s="224"/>
      <c r="AJ260" s="224"/>
      <c r="AK260" s="224"/>
      <c r="AL260" s="224"/>
      <c r="AM260" s="224"/>
      <c r="AN260" s="224"/>
      <c r="AO260" s="224"/>
      <c r="AP260" s="224"/>
      <c r="AQ260" s="224"/>
      <c r="AR260" s="224"/>
    </row>
    <row r="261" spans="1:44" ht="37.5" customHeight="1" hidden="1">
      <c r="A261" s="231" t="s">
        <v>277</v>
      </c>
      <c r="B261" s="234" t="s">
        <v>280</v>
      </c>
      <c r="C261" s="23" t="s">
        <v>40</v>
      </c>
      <c r="D261" s="81" t="s">
        <v>281</v>
      </c>
      <c r="E261" s="237">
        <v>0</v>
      </c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8">
        <f>E261+F261+H261+J261+L261+N261+P261+R261+T261+V261+X261+Z261+AB261-G261-I261-K261-M261-O261-Q261-S261-U261-W261-Y261-AA261-AC261</f>
        <v>0</v>
      </c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>
        <v>589.04</v>
      </c>
      <c r="AP261" s="224"/>
      <c r="AQ261" s="224"/>
      <c r="AR261" s="224"/>
    </row>
    <row r="262" spans="1:44" ht="13.5" customHeight="1" hidden="1">
      <c r="A262" s="232"/>
      <c r="B262" s="235"/>
      <c r="C262" s="24" t="s">
        <v>0</v>
      </c>
      <c r="D262" s="16" t="s">
        <v>278</v>
      </c>
      <c r="E262" s="238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9"/>
      <c r="AE262" s="224"/>
      <c r="AF262" s="224"/>
      <c r="AG262" s="224"/>
      <c r="AH262" s="224"/>
      <c r="AI262" s="224"/>
      <c r="AJ262" s="224"/>
      <c r="AK262" s="224"/>
      <c r="AL262" s="224"/>
      <c r="AM262" s="224"/>
      <c r="AN262" s="224"/>
      <c r="AO262" s="224"/>
      <c r="AP262" s="224"/>
      <c r="AQ262" s="224"/>
      <c r="AR262" s="224"/>
    </row>
    <row r="263" spans="1:44" ht="13.5" customHeight="1" hidden="1">
      <c r="A263" s="232"/>
      <c r="B263" s="235"/>
      <c r="C263" s="25" t="s">
        <v>36</v>
      </c>
      <c r="D263" s="20" t="s">
        <v>42</v>
      </c>
      <c r="E263" s="238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9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  <c r="AR263" s="224"/>
    </row>
    <row r="264" spans="1:44" ht="13.5" customHeight="1" hidden="1">
      <c r="A264" s="232"/>
      <c r="B264" s="235"/>
      <c r="C264" s="24" t="s">
        <v>37</v>
      </c>
      <c r="D264" s="17"/>
      <c r="E264" s="238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9"/>
      <c r="AE264" s="224"/>
      <c r="AF264" s="224"/>
      <c r="AG264" s="224"/>
      <c r="AH264" s="224"/>
      <c r="AI264" s="224"/>
      <c r="AJ264" s="224"/>
      <c r="AK264" s="224"/>
      <c r="AL264" s="224"/>
      <c r="AM264" s="224"/>
      <c r="AN264" s="224"/>
      <c r="AO264" s="224"/>
      <c r="AP264" s="224"/>
      <c r="AQ264" s="224"/>
      <c r="AR264" s="224"/>
    </row>
    <row r="265" spans="1:44" ht="13.5" customHeight="1" hidden="1">
      <c r="A265" s="232"/>
      <c r="B265" s="235"/>
      <c r="C265" s="24" t="s">
        <v>38</v>
      </c>
      <c r="D265" s="21">
        <v>5000000</v>
      </c>
      <c r="E265" s="238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9"/>
      <c r="AE265" s="224"/>
      <c r="AF265" s="224"/>
      <c r="AG265" s="224"/>
      <c r="AH265" s="224"/>
      <c r="AI265" s="224"/>
      <c r="AJ265" s="224"/>
      <c r="AK265" s="224"/>
      <c r="AL265" s="224"/>
      <c r="AM265" s="224"/>
      <c r="AN265" s="224"/>
      <c r="AO265" s="224"/>
      <c r="AP265" s="224"/>
      <c r="AQ265" s="224"/>
      <c r="AR265" s="224"/>
    </row>
    <row r="266" spans="1:44" ht="13.5" customHeight="1" hidden="1">
      <c r="A266" s="232"/>
      <c r="B266" s="235"/>
      <c r="C266" s="25" t="s">
        <v>39</v>
      </c>
      <c r="D266" s="166">
        <v>43791</v>
      </c>
      <c r="E266" s="238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9"/>
      <c r="AE266" s="224"/>
      <c r="AF266" s="224"/>
      <c r="AG266" s="224"/>
      <c r="AH266" s="224"/>
      <c r="AI266" s="224"/>
      <c r="AJ266" s="224"/>
      <c r="AK266" s="224"/>
      <c r="AL266" s="224"/>
      <c r="AM266" s="224"/>
      <c r="AN266" s="224"/>
      <c r="AO266" s="224"/>
      <c r="AP266" s="224"/>
      <c r="AQ266" s="224"/>
      <c r="AR266" s="224"/>
    </row>
    <row r="267" spans="1:44" ht="13.5" customHeight="1" hidden="1">
      <c r="A267" s="232"/>
      <c r="B267" s="235"/>
      <c r="C267" s="24" t="s">
        <v>1</v>
      </c>
      <c r="D267" s="169">
        <v>0.001</v>
      </c>
      <c r="E267" s="238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9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</row>
    <row r="268" spans="1:44" ht="17.25" customHeight="1" hidden="1" thickBot="1">
      <c r="A268" s="233"/>
      <c r="B268" s="236"/>
      <c r="C268" s="26" t="s">
        <v>41</v>
      </c>
      <c r="D268" s="84" t="s">
        <v>282</v>
      </c>
      <c r="E268" s="239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30"/>
      <c r="AE268" s="224"/>
      <c r="AF268" s="224"/>
      <c r="AG268" s="224"/>
      <c r="AH268" s="224"/>
      <c r="AI268" s="224"/>
      <c r="AJ268" s="224"/>
      <c r="AK268" s="224"/>
      <c r="AL268" s="224"/>
      <c r="AM268" s="224"/>
      <c r="AN268" s="224"/>
      <c r="AO268" s="224"/>
      <c r="AP268" s="224"/>
      <c r="AQ268" s="224"/>
      <c r="AR268" s="224"/>
    </row>
    <row r="269" spans="1:44" ht="37.5" customHeight="1">
      <c r="A269" s="231" t="s">
        <v>296</v>
      </c>
      <c r="B269" s="234" t="s">
        <v>297</v>
      </c>
      <c r="C269" s="23" t="s">
        <v>40</v>
      </c>
      <c r="D269" s="81" t="s">
        <v>339</v>
      </c>
      <c r="E269" s="237">
        <v>3706380</v>
      </c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8">
        <f>E269+F269+H269+J269+L269+N269+P269+R269+T269+V269+X269+Z269+AB269-G269-I269-K269-M269-O269-Q269-S269-U269-W269-Y269-AA269-AC269</f>
        <v>3706380</v>
      </c>
      <c r="AE269" s="224"/>
      <c r="AF269" s="224"/>
      <c r="AG269" s="224"/>
      <c r="AH269" s="224"/>
      <c r="AI269" s="224"/>
      <c r="AJ269" s="224"/>
      <c r="AK269" s="224"/>
      <c r="AL269" s="224"/>
      <c r="AM269" s="224"/>
      <c r="AN269" s="224"/>
      <c r="AO269" s="224">
        <v>589.04</v>
      </c>
      <c r="AP269" s="224"/>
      <c r="AQ269" s="224">
        <f>3229.12</f>
        <v>3229.12</v>
      </c>
      <c r="AR269" s="224">
        <f>3706.38</f>
        <v>3706.38</v>
      </c>
    </row>
    <row r="270" spans="1:44" ht="13.5" customHeight="1">
      <c r="A270" s="232"/>
      <c r="B270" s="235"/>
      <c r="C270" s="24" t="s">
        <v>0</v>
      </c>
      <c r="D270" s="16" t="s">
        <v>49</v>
      </c>
      <c r="E270" s="238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9"/>
      <c r="AE270" s="224"/>
      <c r="AF270" s="224"/>
      <c r="AG270" s="224"/>
      <c r="AH270" s="224"/>
      <c r="AI270" s="224"/>
      <c r="AJ270" s="224"/>
      <c r="AK270" s="224"/>
      <c r="AL270" s="224"/>
      <c r="AM270" s="224"/>
      <c r="AN270" s="224"/>
      <c r="AO270" s="224"/>
      <c r="AP270" s="224"/>
      <c r="AQ270" s="224"/>
      <c r="AR270" s="224"/>
    </row>
    <row r="271" spans="1:44" ht="13.5" customHeight="1">
      <c r="A271" s="232"/>
      <c r="B271" s="235"/>
      <c r="C271" s="25" t="s">
        <v>36</v>
      </c>
      <c r="D271" s="20" t="s">
        <v>42</v>
      </c>
      <c r="E271" s="238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9"/>
      <c r="AE271" s="224"/>
      <c r="AF271" s="224"/>
      <c r="AG271" s="224"/>
      <c r="AH271" s="224"/>
      <c r="AI271" s="224"/>
      <c r="AJ271" s="224"/>
      <c r="AK271" s="224"/>
      <c r="AL271" s="224"/>
      <c r="AM271" s="224"/>
      <c r="AN271" s="224"/>
      <c r="AO271" s="224"/>
      <c r="AP271" s="224"/>
      <c r="AQ271" s="224"/>
      <c r="AR271" s="224"/>
    </row>
    <row r="272" spans="1:44" ht="13.5" customHeight="1">
      <c r="A272" s="232"/>
      <c r="B272" s="235"/>
      <c r="C272" s="24" t="s">
        <v>37</v>
      </c>
      <c r="D272" s="17"/>
      <c r="E272" s="238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9"/>
      <c r="AE272" s="224"/>
      <c r="AF272" s="224"/>
      <c r="AG272" s="224"/>
      <c r="AH272" s="224"/>
      <c r="AI272" s="224"/>
      <c r="AJ272" s="224"/>
      <c r="AK272" s="224"/>
      <c r="AL272" s="224"/>
      <c r="AM272" s="224"/>
      <c r="AN272" s="224"/>
      <c r="AO272" s="224"/>
      <c r="AP272" s="224"/>
      <c r="AQ272" s="224"/>
      <c r="AR272" s="224"/>
    </row>
    <row r="273" spans="1:44" ht="13.5" customHeight="1">
      <c r="A273" s="232"/>
      <c r="B273" s="235"/>
      <c r="C273" s="24" t="s">
        <v>38</v>
      </c>
      <c r="D273" s="21">
        <v>3706380</v>
      </c>
      <c r="E273" s="238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9"/>
      <c r="AE273" s="224"/>
      <c r="AF273" s="224"/>
      <c r="AG273" s="224"/>
      <c r="AH273" s="224"/>
      <c r="AI273" s="224"/>
      <c r="AJ273" s="224"/>
      <c r="AK273" s="224"/>
      <c r="AL273" s="224"/>
      <c r="AM273" s="224"/>
      <c r="AN273" s="224"/>
      <c r="AO273" s="224"/>
      <c r="AP273" s="224"/>
      <c r="AQ273" s="224"/>
      <c r="AR273" s="224"/>
    </row>
    <row r="274" spans="1:44" ht="13.5" customHeight="1">
      <c r="A274" s="232"/>
      <c r="B274" s="235"/>
      <c r="C274" s="25" t="s">
        <v>39</v>
      </c>
      <c r="D274" s="166">
        <v>45338</v>
      </c>
      <c r="E274" s="238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9"/>
      <c r="AE274" s="224"/>
      <c r="AF274" s="224"/>
      <c r="AG274" s="224"/>
      <c r="AH274" s="224"/>
      <c r="AI274" s="224"/>
      <c r="AJ274" s="224"/>
      <c r="AK274" s="224"/>
      <c r="AL274" s="224"/>
      <c r="AM274" s="224"/>
      <c r="AN274" s="224"/>
      <c r="AO274" s="224"/>
      <c r="AP274" s="224"/>
      <c r="AQ274" s="224"/>
      <c r="AR274" s="224"/>
    </row>
    <row r="275" spans="1:44" ht="13.5" customHeight="1">
      <c r="A275" s="232"/>
      <c r="B275" s="235"/>
      <c r="C275" s="24" t="s">
        <v>1</v>
      </c>
      <c r="D275" s="169">
        <v>0.001</v>
      </c>
      <c r="E275" s="238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9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  <c r="AR275" s="224"/>
    </row>
    <row r="276" spans="1:44" ht="17.25" customHeight="1" thickBot="1">
      <c r="A276" s="233"/>
      <c r="B276" s="236"/>
      <c r="C276" s="26" t="s">
        <v>41</v>
      </c>
      <c r="D276" s="84" t="s">
        <v>83</v>
      </c>
      <c r="E276" s="239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30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  <c r="AR276" s="224"/>
    </row>
    <row r="277" spans="1:44" ht="37.5" customHeight="1">
      <c r="A277" s="231" t="s">
        <v>298</v>
      </c>
      <c r="B277" s="234" t="s">
        <v>303</v>
      </c>
      <c r="C277" s="23" t="s">
        <v>40</v>
      </c>
      <c r="D277" s="81" t="s">
        <v>340</v>
      </c>
      <c r="E277" s="237">
        <v>8409500</v>
      </c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8">
        <f>E277+F277+H277+J277+L277+N277+P277+R277+T277+V277+X277+Z277+AB277-G277-I277-K277-M277-O277-Q277-S277-U277-W277-Y277-AA277-AC277</f>
        <v>8409500</v>
      </c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224"/>
      <c r="AO277" s="224">
        <v>589.04</v>
      </c>
      <c r="AP277" s="224"/>
      <c r="AQ277" s="224">
        <f>4584.91</f>
        <v>4584.91</v>
      </c>
      <c r="AR277" s="224">
        <f>8409.5</f>
        <v>8409.5</v>
      </c>
    </row>
    <row r="278" spans="1:44" ht="13.5" customHeight="1">
      <c r="A278" s="232"/>
      <c r="B278" s="235"/>
      <c r="C278" s="24" t="s">
        <v>0</v>
      </c>
      <c r="D278" s="16" t="s">
        <v>49</v>
      </c>
      <c r="E278" s="238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9"/>
      <c r="AE278" s="224"/>
      <c r="AF278" s="224"/>
      <c r="AG278" s="224"/>
      <c r="AH278" s="224"/>
      <c r="AI278" s="224"/>
      <c r="AJ278" s="224"/>
      <c r="AK278" s="224"/>
      <c r="AL278" s="224"/>
      <c r="AM278" s="224"/>
      <c r="AN278" s="224"/>
      <c r="AO278" s="224"/>
      <c r="AP278" s="224"/>
      <c r="AQ278" s="224"/>
      <c r="AR278" s="224"/>
    </row>
    <row r="279" spans="1:44" ht="13.5" customHeight="1">
      <c r="A279" s="232"/>
      <c r="B279" s="235"/>
      <c r="C279" s="25" t="s">
        <v>36</v>
      </c>
      <c r="D279" s="20" t="s">
        <v>42</v>
      </c>
      <c r="E279" s="238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9"/>
      <c r="AE279" s="224"/>
      <c r="AF279" s="224"/>
      <c r="AG279" s="224"/>
      <c r="AH279" s="224"/>
      <c r="AI279" s="224"/>
      <c r="AJ279" s="224"/>
      <c r="AK279" s="224"/>
      <c r="AL279" s="224"/>
      <c r="AM279" s="224"/>
      <c r="AN279" s="224"/>
      <c r="AO279" s="224"/>
      <c r="AP279" s="224"/>
      <c r="AQ279" s="224"/>
      <c r="AR279" s="224"/>
    </row>
    <row r="280" spans="1:44" ht="13.5" customHeight="1">
      <c r="A280" s="232"/>
      <c r="B280" s="235"/>
      <c r="C280" s="24" t="s">
        <v>37</v>
      </c>
      <c r="D280" s="17"/>
      <c r="E280" s="238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9"/>
      <c r="AE280" s="224"/>
      <c r="AF280" s="224"/>
      <c r="AG280" s="224"/>
      <c r="AH280" s="224"/>
      <c r="AI280" s="224"/>
      <c r="AJ280" s="224"/>
      <c r="AK280" s="224"/>
      <c r="AL280" s="224"/>
      <c r="AM280" s="224"/>
      <c r="AN280" s="224"/>
      <c r="AO280" s="224"/>
      <c r="AP280" s="224"/>
      <c r="AQ280" s="224"/>
      <c r="AR280" s="224"/>
    </row>
    <row r="281" spans="1:44" ht="13.5" customHeight="1">
      <c r="A281" s="232"/>
      <c r="B281" s="235"/>
      <c r="C281" s="24" t="s">
        <v>38</v>
      </c>
      <c r="D281" s="21">
        <v>8409500</v>
      </c>
      <c r="E281" s="238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9"/>
      <c r="AE281" s="224"/>
      <c r="AF281" s="224"/>
      <c r="AG281" s="224"/>
      <c r="AH281" s="224"/>
      <c r="AI281" s="224"/>
      <c r="AJ281" s="224"/>
      <c r="AK281" s="224"/>
      <c r="AL281" s="224"/>
      <c r="AM281" s="224"/>
      <c r="AN281" s="224"/>
      <c r="AO281" s="224"/>
      <c r="AP281" s="224"/>
      <c r="AQ281" s="224"/>
      <c r="AR281" s="224"/>
    </row>
    <row r="282" spans="1:44" ht="13.5" customHeight="1">
      <c r="A282" s="232"/>
      <c r="B282" s="235"/>
      <c r="C282" s="25" t="s">
        <v>39</v>
      </c>
      <c r="D282" s="166">
        <v>45448</v>
      </c>
      <c r="E282" s="238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9"/>
      <c r="AE282" s="224"/>
      <c r="AF282" s="224"/>
      <c r="AG282" s="224"/>
      <c r="AH282" s="224"/>
      <c r="AI282" s="224"/>
      <c r="AJ282" s="224"/>
      <c r="AK282" s="224"/>
      <c r="AL282" s="224"/>
      <c r="AM282" s="224"/>
      <c r="AN282" s="224"/>
      <c r="AO282" s="224"/>
      <c r="AP282" s="224"/>
      <c r="AQ282" s="224"/>
      <c r="AR282" s="224"/>
    </row>
    <row r="283" spans="1:44" ht="13.5" customHeight="1">
      <c r="A283" s="232"/>
      <c r="B283" s="235"/>
      <c r="C283" s="24" t="s">
        <v>1</v>
      </c>
      <c r="D283" s="169">
        <v>0.001</v>
      </c>
      <c r="E283" s="238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9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  <c r="AR283" s="224"/>
    </row>
    <row r="284" spans="1:44" ht="17.25" customHeight="1" thickBot="1">
      <c r="A284" s="233"/>
      <c r="B284" s="236"/>
      <c r="C284" s="26" t="s">
        <v>41</v>
      </c>
      <c r="D284" s="84" t="s">
        <v>83</v>
      </c>
      <c r="E284" s="239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  <c r="AB284" s="227"/>
      <c r="AC284" s="227"/>
      <c r="AD284" s="230"/>
      <c r="AE284" s="224"/>
      <c r="AF284" s="224"/>
      <c r="AG284" s="224"/>
      <c r="AH284" s="224"/>
      <c r="AI284" s="224"/>
      <c r="AJ284" s="224"/>
      <c r="AK284" s="224"/>
      <c r="AL284" s="224"/>
      <c r="AM284" s="224"/>
      <c r="AN284" s="224"/>
      <c r="AO284" s="224"/>
      <c r="AP284" s="224"/>
      <c r="AQ284" s="224"/>
      <c r="AR284" s="224"/>
    </row>
    <row r="285" spans="1:44" ht="60.75" customHeight="1">
      <c r="A285" s="231" t="s">
        <v>302</v>
      </c>
      <c r="B285" s="234" t="s">
        <v>306</v>
      </c>
      <c r="C285" s="23" t="s">
        <v>40</v>
      </c>
      <c r="D285" s="81" t="s">
        <v>305</v>
      </c>
      <c r="E285" s="237">
        <v>89171100</v>
      </c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8">
        <f>E285+F285+H285+J285+L285+N285+P285+R285+T285+V285+X285+Z285+AB285-G285-I285-K285-M285-O285-Q285-S285-U285-W285-Y285-AA285-AC285</f>
        <v>89171100</v>
      </c>
      <c r="AE285" s="224"/>
      <c r="AF285" s="224"/>
      <c r="AG285" s="224"/>
      <c r="AH285" s="224"/>
      <c r="AI285" s="224"/>
      <c r="AJ285" s="224"/>
      <c r="AK285" s="224"/>
      <c r="AL285" s="224"/>
      <c r="AM285" s="224"/>
      <c r="AN285" s="224"/>
      <c r="AO285" s="224">
        <v>589.04</v>
      </c>
      <c r="AP285" s="224"/>
      <c r="AQ285" s="224">
        <f>32003.87</f>
        <v>32003.87</v>
      </c>
      <c r="AR285" s="224">
        <f>89171.1</f>
        <v>89171.1</v>
      </c>
    </row>
    <row r="286" spans="1:44" ht="13.5" customHeight="1">
      <c r="A286" s="232"/>
      <c r="B286" s="235"/>
      <c r="C286" s="24" t="s">
        <v>0</v>
      </c>
      <c r="D286" s="16" t="s">
        <v>278</v>
      </c>
      <c r="E286" s="238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9"/>
      <c r="AE286" s="224"/>
      <c r="AF286" s="224"/>
      <c r="AG286" s="224"/>
      <c r="AH286" s="224"/>
      <c r="AI286" s="224"/>
      <c r="AJ286" s="224"/>
      <c r="AK286" s="224"/>
      <c r="AL286" s="224"/>
      <c r="AM286" s="224"/>
      <c r="AN286" s="224"/>
      <c r="AO286" s="224"/>
      <c r="AP286" s="224"/>
      <c r="AQ286" s="224"/>
      <c r="AR286" s="224"/>
    </row>
    <row r="287" spans="1:44" ht="13.5" customHeight="1">
      <c r="A287" s="232"/>
      <c r="B287" s="235"/>
      <c r="C287" s="25" t="s">
        <v>36</v>
      </c>
      <c r="D287" s="20" t="s">
        <v>42</v>
      </c>
      <c r="E287" s="238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9"/>
      <c r="AE287" s="224"/>
      <c r="AF287" s="224"/>
      <c r="AG287" s="224"/>
      <c r="AH287" s="224"/>
      <c r="AI287" s="224"/>
      <c r="AJ287" s="224"/>
      <c r="AK287" s="224"/>
      <c r="AL287" s="224"/>
      <c r="AM287" s="224"/>
      <c r="AN287" s="224"/>
      <c r="AO287" s="224"/>
      <c r="AP287" s="224"/>
      <c r="AQ287" s="224"/>
      <c r="AR287" s="224"/>
    </row>
    <row r="288" spans="1:44" ht="13.5" customHeight="1">
      <c r="A288" s="232"/>
      <c r="B288" s="235"/>
      <c r="C288" s="24" t="s">
        <v>37</v>
      </c>
      <c r="D288" s="17"/>
      <c r="E288" s="238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9"/>
      <c r="AE288" s="224"/>
      <c r="AF288" s="224"/>
      <c r="AG288" s="224"/>
      <c r="AH288" s="224"/>
      <c r="AI288" s="224"/>
      <c r="AJ288" s="224"/>
      <c r="AK288" s="224"/>
      <c r="AL288" s="224"/>
      <c r="AM288" s="224"/>
      <c r="AN288" s="224"/>
      <c r="AO288" s="224"/>
      <c r="AP288" s="224"/>
      <c r="AQ288" s="224"/>
      <c r="AR288" s="224"/>
    </row>
    <row r="289" spans="1:44" ht="13.5" customHeight="1">
      <c r="A289" s="232"/>
      <c r="B289" s="235"/>
      <c r="C289" s="24" t="s">
        <v>38</v>
      </c>
      <c r="D289" s="21">
        <v>89171100</v>
      </c>
      <c r="E289" s="238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9"/>
      <c r="AE289" s="224"/>
      <c r="AF289" s="224"/>
      <c r="AG289" s="224"/>
      <c r="AH289" s="224"/>
      <c r="AI289" s="224"/>
      <c r="AJ289" s="224"/>
      <c r="AK289" s="224"/>
      <c r="AL289" s="224"/>
      <c r="AM289" s="224"/>
      <c r="AN289" s="224"/>
      <c r="AO289" s="224"/>
      <c r="AP289" s="224"/>
      <c r="AQ289" s="224"/>
      <c r="AR289" s="224"/>
    </row>
    <row r="290" spans="1:44" ht="13.5" customHeight="1">
      <c r="A290" s="232"/>
      <c r="B290" s="235"/>
      <c r="C290" s="25" t="s">
        <v>39</v>
      </c>
      <c r="D290" s="213">
        <v>46254</v>
      </c>
      <c r="E290" s="238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9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</row>
    <row r="291" spans="1:44" ht="13.5" customHeight="1">
      <c r="A291" s="232"/>
      <c r="B291" s="235"/>
      <c r="C291" s="24" t="s">
        <v>1</v>
      </c>
      <c r="D291" s="169">
        <v>0.001</v>
      </c>
      <c r="E291" s="238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9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</row>
    <row r="292" spans="1:44" ht="26.25" customHeight="1" thickBot="1">
      <c r="A292" s="233"/>
      <c r="B292" s="236"/>
      <c r="C292" s="26" t="s">
        <v>41</v>
      </c>
      <c r="D292" s="84" t="s">
        <v>304</v>
      </c>
      <c r="E292" s="239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  <c r="AB292" s="227"/>
      <c r="AC292" s="227"/>
      <c r="AD292" s="230"/>
      <c r="AE292" s="224"/>
      <c r="AF292" s="224"/>
      <c r="AG292" s="224"/>
      <c r="AH292" s="224"/>
      <c r="AI292" s="224"/>
      <c r="AJ292" s="224"/>
      <c r="AK292" s="224"/>
      <c r="AL292" s="224"/>
      <c r="AM292" s="224"/>
      <c r="AN292" s="224"/>
      <c r="AO292" s="224"/>
      <c r="AP292" s="224"/>
      <c r="AQ292" s="224"/>
      <c r="AR292" s="224"/>
    </row>
    <row r="293" spans="1:44" ht="37.5" customHeight="1">
      <c r="A293" s="231" t="s">
        <v>308</v>
      </c>
      <c r="B293" s="234" t="s">
        <v>309</v>
      </c>
      <c r="C293" s="23" t="s">
        <v>40</v>
      </c>
      <c r="D293" s="81" t="s">
        <v>327</v>
      </c>
      <c r="E293" s="237">
        <v>7930100</v>
      </c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8">
        <f>E293+F293+H293+J293+L293+N293+P293+R293+T293+V293+X293+Z293+AB293-G293-I293-K293-M293-O293-Q293-S293-U293-W293-Y293-AA293-AC293</f>
        <v>7930100</v>
      </c>
      <c r="AE293" s="224"/>
      <c r="AF293" s="224"/>
      <c r="AG293" s="224"/>
      <c r="AH293" s="224"/>
      <c r="AI293" s="224"/>
      <c r="AJ293" s="224"/>
      <c r="AK293" s="224"/>
      <c r="AL293" s="224"/>
      <c r="AM293" s="224"/>
      <c r="AN293" s="224"/>
      <c r="AO293" s="224">
        <v>589.04</v>
      </c>
      <c r="AP293" s="224"/>
      <c r="AQ293" s="224">
        <f>1586.02</f>
        <v>1586.02</v>
      </c>
      <c r="AR293" s="224">
        <f>7930.1</f>
        <v>7930.1</v>
      </c>
    </row>
    <row r="294" spans="1:44" ht="13.5" customHeight="1">
      <c r="A294" s="232"/>
      <c r="B294" s="235"/>
      <c r="C294" s="24" t="s">
        <v>0</v>
      </c>
      <c r="D294" s="16" t="s">
        <v>49</v>
      </c>
      <c r="E294" s="238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9"/>
      <c r="AE294" s="224"/>
      <c r="AF294" s="224"/>
      <c r="AG294" s="224"/>
      <c r="AH294" s="224"/>
      <c r="AI294" s="224"/>
      <c r="AJ294" s="224"/>
      <c r="AK294" s="224"/>
      <c r="AL294" s="224"/>
      <c r="AM294" s="224"/>
      <c r="AN294" s="224"/>
      <c r="AO294" s="224"/>
      <c r="AP294" s="224"/>
      <c r="AQ294" s="224"/>
      <c r="AR294" s="224"/>
    </row>
    <row r="295" spans="1:44" ht="13.5" customHeight="1">
      <c r="A295" s="232"/>
      <c r="B295" s="235"/>
      <c r="C295" s="25" t="s">
        <v>36</v>
      </c>
      <c r="D295" s="20" t="s">
        <v>42</v>
      </c>
      <c r="E295" s="238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9"/>
      <c r="AE295" s="224"/>
      <c r="AF295" s="224"/>
      <c r="AG295" s="224"/>
      <c r="AH295" s="224"/>
      <c r="AI295" s="224"/>
      <c r="AJ295" s="224"/>
      <c r="AK295" s="224"/>
      <c r="AL295" s="224"/>
      <c r="AM295" s="224"/>
      <c r="AN295" s="224"/>
      <c r="AO295" s="224"/>
      <c r="AP295" s="224"/>
      <c r="AQ295" s="224"/>
      <c r="AR295" s="224"/>
    </row>
    <row r="296" spans="1:44" ht="13.5" customHeight="1">
      <c r="A296" s="232"/>
      <c r="B296" s="235"/>
      <c r="C296" s="24" t="s">
        <v>37</v>
      </c>
      <c r="D296" s="17"/>
      <c r="E296" s="238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9"/>
      <c r="AE296" s="224"/>
      <c r="AF296" s="224"/>
      <c r="AG296" s="224"/>
      <c r="AH296" s="224"/>
      <c r="AI296" s="224"/>
      <c r="AJ296" s="224"/>
      <c r="AK296" s="224"/>
      <c r="AL296" s="224"/>
      <c r="AM296" s="224"/>
      <c r="AN296" s="224"/>
      <c r="AO296" s="224"/>
      <c r="AP296" s="224"/>
      <c r="AQ296" s="224"/>
      <c r="AR296" s="224"/>
    </row>
    <row r="297" spans="1:44" ht="13.5" customHeight="1">
      <c r="A297" s="232"/>
      <c r="B297" s="235"/>
      <c r="C297" s="24" t="s">
        <v>38</v>
      </c>
      <c r="D297" s="21">
        <v>7930100</v>
      </c>
      <c r="E297" s="238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9"/>
      <c r="AE297" s="224"/>
      <c r="AF297" s="224"/>
      <c r="AG297" s="224"/>
      <c r="AH297" s="224"/>
      <c r="AI297" s="224"/>
      <c r="AJ297" s="224"/>
      <c r="AK297" s="224"/>
      <c r="AL297" s="224"/>
      <c r="AM297" s="224"/>
      <c r="AN297" s="224"/>
      <c r="AO297" s="224"/>
      <c r="AP297" s="224"/>
      <c r="AQ297" s="224"/>
      <c r="AR297" s="224"/>
    </row>
    <row r="298" spans="1:44" ht="13.5" customHeight="1">
      <c r="A298" s="232"/>
      <c r="B298" s="235"/>
      <c r="C298" s="25" t="s">
        <v>39</v>
      </c>
      <c r="D298" s="166">
        <v>45565</v>
      </c>
      <c r="E298" s="238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9"/>
      <c r="AE298" s="224"/>
      <c r="AF298" s="224"/>
      <c r="AG298" s="224"/>
      <c r="AH298" s="224"/>
      <c r="AI298" s="224"/>
      <c r="AJ298" s="224"/>
      <c r="AK298" s="224"/>
      <c r="AL298" s="224"/>
      <c r="AM298" s="224"/>
      <c r="AN298" s="224"/>
      <c r="AO298" s="224"/>
      <c r="AP298" s="224"/>
      <c r="AQ298" s="224"/>
      <c r="AR298" s="224"/>
    </row>
    <row r="299" spans="1:44" ht="13.5" customHeight="1">
      <c r="A299" s="232"/>
      <c r="B299" s="235"/>
      <c r="C299" s="24" t="s">
        <v>1</v>
      </c>
      <c r="D299" s="169">
        <v>0.001</v>
      </c>
      <c r="E299" s="238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9"/>
      <c r="AE299" s="224"/>
      <c r="AF299" s="224"/>
      <c r="AG299" s="224"/>
      <c r="AH299" s="224"/>
      <c r="AI299" s="224"/>
      <c r="AJ299" s="224"/>
      <c r="AK299" s="224"/>
      <c r="AL299" s="224"/>
      <c r="AM299" s="224"/>
      <c r="AN299" s="224"/>
      <c r="AO299" s="224"/>
      <c r="AP299" s="224"/>
      <c r="AQ299" s="224"/>
      <c r="AR299" s="224"/>
    </row>
    <row r="300" spans="1:44" ht="17.25" customHeight="1" thickBot="1">
      <c r="A300" s="233"/>
      <c r="B300" s="236"/>
      <c r="C300" s="26" t="s">
        <v>41</v>
      </c>
      <c r="D300" s="84" t="s">
        <v>83</v>
      </c>
      <c r="E300" s="239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30"/>
      <c r="AE300" s="224"/>
      <c r="AF300" s="224"/>
      <c r="AG300" s="224"/>
      <c r="AH300" s="224"/>
      <c r="AI300" s="224"/>
      <c r="AJ300" s="224"/>
      <c r="AK300" s="224"/>
      <c r="AL300" s="224"/>
      <c r="AM300" s="224"/>
      <c r="AN300" s="224"/>
      <c r="AO300" s="224"/>
      <c r="AP300" s="224"/>
      <c r="AQ300" s="224"/>
      <c r="AR300" s="224"/>
    </row>
    <row r="301" spans="1:44" ht="37.5" customHeight="1">
      <c r="A301" s="231" t="s">
        <v>313</v>
      </c>
      <c r="B301" s="234" t="s">
        <v>314</v>
      </c>
      <c r="C301" s="23" t="s">
        <v>40</v>
      </c>
      <c r="D301" s="81" t="s">
        <v>326</v>
      </c>
      <c r="E301" s="237"/>
      <c r="F301" s="225"/>
      <c r="G301" s="225"/>
      <c r="H301" s="225"/>
      <c r="I301" s="225"/>
      <c r="J301" s="225">
        <v>15000000</v>
      </c>
      <c r="K301" s="225"/>
      <c r="L301" s="225"/>
      <c r="M301" s="225"/>
      <c r="N301" s="225"/>
      <c r="O301" s="225"/>
      <c r="P301" s="225"/>
      <c r="Q301" s="225">
        <v>15000000</v>
      </c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8">
        <f>E301+F301+H301+J301+L301+N301+P301+R301+T301+V301+X301+Z301+AB301-G301-I301-K301-M301-O301-Q301-S301-U301-W301-Y301-AA301-AC301</f>
        <v>0</v>
      </c>
      <c r="AE301" s="224"/>
      <c r="AF301" s="224"/>
      <c r="AG301" s="224"/>
      <c r="AH301" s="224"/>
      <c r="AI301" s="224"/>
      <c r="AJ301" s="224"/>
      <c r="AK301" s="224"/>
      <c r="AL301" s="224"/>
      <c r="AM301" s="224"/>
      <c r="AN301" s="224"/>
      <c r="AO301" s="224">
        <v>589.04</v>
      </c>
      <c r="AP301" s="224"/>
      <c r="AQ301" s="224"/>
      <c r="AR301" s="224">
        <f>4315.07</f>
        <v>4315.07</v>
      </c>
    </row>
    <row r="302" spans="1:44" ht="13.5" customHeight="1">
      <c r="A302" s="232"/>
      <c r="B302" s="235"/>
      <c r="C302" s="24" t="s">
        <v>0</v>
      </c>
      <c r="D302" s="16" t="s">
        <v>49</v>
      </c>
      <c r="E302" s="238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9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</row>
    <row r="303" spans="1:44" ht="13.5" customHeight="1">
      <c r="A303" s="232"/>
      <c r="B303" s="235"/>
      <c r="C303" s="25" t="s">
        <v>36</v>
      </c>
      <c r="D303" s="20" t="s">
        <v>42</v>
      </c>
      <c r="E303" s="238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9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  <c r="AR303" s="224"/>
    </row>
    <row r="304" spans="1:44" ht="13.5" customHeight="1">
      <c r="A304" s="232"/>
      <c r="B304" s="235"/>
      <c r="C304" s="24" t="s">
        <v>37</v>
      </c>
      <c r="D304" s="17"/>
      <c r="E304" s="238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9"/>
      <c r="AE304" s="224"/>
      <c r="AF304" s="224"/>
      <c r="AG304" s="224"/>
      <c r="AH304" s="224"/>
      <c r="AI304" s="224"/>
      <c r="AJ304" s="224"/>
      <c r="AK304" s="224"/>
      <c r="AL304" s="224"/>
      <c r="AM304" s="224"/>
      <c r="AN304" s="224"/>
      <c r="AO304" s="224"/>
      <c r="AP304" s="224"/>
      <c r="AQ304" s="224"/>
      <c r="AR304" s="224"/>
    </row>
    <row r="305" spans="1:44" ht="13.5" customHeight="1">
      <c r="A305" s="232"/>
      <c r="B305" s="235"/>
      <c r="C305" s="24" t="s">
        <v>38</v>
      </c>
      <c r="D305" s="21">
        <v>15000000</v>
      </c>
      <c r="E305" s="238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9"/>
      <c r="AE305" s="224"/>
      <c r="AF305" s="224"/>
      <c r="AG305" s="224"/>
      <c r="AH305" s="224"/>
      <c r="AI305" s="224"/>
      <c r="AJ305" s="224"/>
      <c r="AK305" s="224"/>
      <c r="AL305" s="224"/>
      <c r="AM305" s="224"/>
      <c r="AN305" s="224"/>
      <c r="AO305" s="224"/>
      <c r="AP305" s="224"/>
      <c r="AQ305" s="224"/>
      <c r="AR305" s="224"/>
    </row>
    <row r="306" spans="1:44" ht="13.5" customHeight="1">
      <c r="A306" s="232"/>
      <c r="B306" s="235"/>
      <c r="C306" s="25" t="s">
        <v>39</v>
      </c>
      <c r="D306" s="166">
        <v>44921</v>
      </c>
      <c r="E306" s="238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9"/>
      <c r="AE306" s="224"/>
      <c r="AF306" s="224"/>
      <c r="AG306" s="224"/>
      <c r="AH306" s="224"/>
      <c r="AI306" s="224"/>
      <c r="AJ306" s="224"/>
      <c r="AK306" s="224"/>
      <c r="AL306" s="224"/>
      <c r="AM306" s="224"/>
      <c r="AN306" s="224"/>
      <c r="AO306" s="224"/>
      <c r="AP306" s="224"/>
      <c r="AQ306" s="224"/>
      <c r="AR306" s="224"/>
    </row>
    <row r="307" spans="1:44" ht="13.5" customHeight="1">
      <c r="A307" s="232"/>
      <c r="B307" s="235"/>
      <c r="C307" s="24" t="s">
        <v>1</v>
      </c>
      <c r="D307" s="169">
        <v>0.001</v>
      </c>
      <c r="E307" s="238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9"/>
      <c r="AE307" s="224"/>
      <c r="AF307" s="224"/>
      <c r="AG307" s="224"/>
      <c r="AH307" s="224"/>
      <c r="AI307" s="224"/>
      <c r="AJ307" s="224"/>
      <c r="AK307" s="224"/>
      <c r="AL307" s="224"/>
      <c r="AM307" s="224"/>
      <c r="AN307" s="224"/>
      <c r="AO307" s="224"/>
      <c r="AP307" s="224"/>
      <c r="AQ307" s="224"/>
      <c r="AR307" s="224"/>
    </row>
    <row r="308" spans="1:44" ht="17.25" customHeight="1" thickBot="1">
      <c r="A308" s="233"/>
      <c r="B308" s="236"/>
      <c r="C308" s="26" t="s">
        <v>41</v>
      </c>
      <c r="D308" s="84" t="s">
        <v>66</v>
      </c>
      <c r="E308" s="239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  <c r="AB308" s="227"/>
      <c r="AC308" s="227"/>
      <c r="AD308" s="230"/>
      <c r="AE308" s="224"/>
      <c r="AF308" s="224"/>
      <c r="AG308" s="224"/>
      <c r="AH308" s="224"/>
      <c r="AI308" s="224"/>
      <c r="AJ308" s="224"/>
      <c r="AK308" s="224"/>
      <c r="AL308" s="224"/>
      <c r="AM308" s="224"/>
      <c r="AN308" s="224"/>
      <c r="AO308" s="224"/>
      <c r="AP308" s="224"/>
      <c r="AQ308" s="224"/>
      <c r="AR308" s="224"/>
    </row>
    <row r="309" spans="1:44" ht="37.5" customHeight="1">
      <c r="A309" s="231" t="s">
        <v>318</v>
      </c>
      <c r="B309" s="234" t="s">
        <v>319</v>
      </c>
      <c r="C309" s="23" t="s">
        <v>40</v>
      </c>
      <c r="D309" s="81" t="s">
        <v>317</v>
      </c>
      <c r="E309" s="237"/>
      <c r="F309" s="225"/>
      <c r="G309" s="225"/>
      <c r="H309" s="225"/>
      <c r="I309" s="225"/>
      <c r="J309" s="225"/>
      <c r="K309" s="225"/>
      <c r="L309" s="225"/>
      <c r="M309" s="225"/>
      <c r="N309" s="225">
        <v>20000000</v>
      </c>
      <c r="O309" s="225"/>
      <c r="P309" s="225"/>
      <c r="Q309" s="225">
        <v>20000000</v>
      </c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8">
        <f>E309+F309+H309+J309+L309+N309+P309+R309+T309+V309+X309+Z309+AB309-G309-I309-K309-M309-O309-Q309-S309-U309-W309-Y309-AA309-AC309</f>
        <v>0</v>
      </c>
      <c r="AE309" s="224"/>
      <c r="AF309" s="224"/>
      <c r="AG309" s="224"/>
      <c r="AH309" s="224"/>
      <c r="AI309" s="224"/>
      <c r="AJ309" s="224"/>
      <c r="AK309" s="224"/>
      <c r="AL309" s="224"/>
      <c r="AM309" s="224"/>
      <c r="AN309" s="224"/>
      <c r="AO309" s="224">
        <v>589.04</v>
      </c>
      <c r="AP309" s="224"/>
      <c r="AQ309" s="224"/>
      <c r="AR309" s="224">
        <f>1917.81</f>
        <v>1917.81</v>
      </c>
    </row>
    <row r="310" spans="1:44" ht="13.5" customHeight="1">
      <c r="A310" s="232"/>
      <c r="B310" s="235"/>
      <c r="C310" s="24" t="s">
        <v>0</v>
      </c>
      <c r="D310" s="16" t="s">
        <v>49</v>
      </c>
      <c r="E310" s="238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9"/>
      <c r="AE310" s="224"/>
      <c r="AF310" s="224"/>
      <c r="AG310" s="224"/>
      <c r="AH310" s="224"/>
      <c r="AI310" s="224"/>
      <c r="AJ310" s="224"/>
      <c r="AK310" s="224"/>
      <c r="AL310" s="224"/>
      <c r="AM310" s="224"/>
      <c r="AN310" s="224"/>
      <c r="AO310" s="224"/>
      <c r="AP310" s="224"/>
      <c r="AQ310" s="224"/>
      <c r="AR310" s="224"/>
    </row>
    <row r="311" spans="1:44" ht="13.5" customHeight="1">
      <c r="A311" s="232"/>
      <c r="B311" s="235"/>
      <c r="C311" s="25" t="s">
        <v>36</v>
      </c>
      <c r="D311" s="20" t="s">
        <v>42</v>
      </c>
      <c r="E311" s="238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9"/>
      <c r="AE311" s="224"/>
      <c r="AF311" s="224"/>
      <c r="AG311" s="224"/>
      <c r="AH311" s="224"/>
      <c r="AI311" s="224"/>
      <c r="AJ311" s="224"/>
      <c r="AK311" s="224"/>
      <c r="AL311" s="224"/>
      <c r="AM311" s="224"/>
      <c r="AN311" s="224"/>
      <c r="AO311" s="224"/>
      <c r="AP311" s="224"/>
      <c r="AQ311" s="224"/>
      <c r="AR311" s="224"/>
    </row>
    <row r="312" spans="1:44" ht="13.5" customHeight="1">
      <c r="A312" s="232"/>
      <c r="B312" s="235"/>
      <c r="C312" s="24" t="s">
        <v>37</v>
      </c>
      <c r="D312" s="17"/>
      <c r="E312" s="238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9"/>
      <c r="AE312" s="224"/>
      <c r="AF312" s="224"/>
      <c r="AG312" s="224"/>
      <c r="AH312" s="224"/>
      <c r="AI312" s="224"/>
      <c r="AJ312" s="224"/>
      <c r="AK312" s="224"/>
      <c r="AL312" s="224"/>
      <c r="AM312" s="224"/>
      <c r="AN312" s="224"/>
      <c r="AO312" s="224"/>
      <c r="AP312" s="224"/>
      <c r="AQ312" s="224"/>
      <c r="AR312" s="224"/>
    </row>
    <row r="313" spans="1:44" ht="13.5" customHeight="1">
      <c r="A313" s="232"/>
      <c r="B313" s="235"/>
      <c r="C313" s="24" t="s">
        <v>38</v>
      </c>
      <c r="D313" s="21">
        <v>20000000</v>
      </c>
      <c r="E313" s="238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9"/>
      <c r="AE313" s="224"/>
      <c r="AF313" s="224"/>
      <c r="AG313" s="224"/>
      <c r="AH313" s="224"/>
      <c r="AI313" s="224"/>
      <c r="AJ313" s="224"/>
      <c r="AK313" s="224"/>
      <c r="AL313" s="224"/>
      <c r="AM313" s="224"/>
      <c r="AN313" s="224"/>
      <c r="AO313" s="224"/>
      <c r="AP313" s="224"/>
      <c r="AQ313" s="224"/>
      <c r="AR313" s="224"/>
    </row>
    <row r="314" spans="1:44" ht="13.5" customHeight="1">
      <c r="A314" s="232"/>
      <c r="B314" s="235"/>
      <c r="C314" s="25" t="s">
        <v>39</v>
      </c>
      <c r="D314" s="166">
        <v>44921</v>
      </c>
      <c r="E314" s="238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9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</row>
    <row r="315" spans="1:44" ht="13.5" customHeight="1">
      <c r="A315" s="232"/>
      <c r="B315" s="235"/>
      <c r="C315" s="24" t="s">
        <v>1</v>
      </c>
      <c r="D315" s="169">
        <v>0.001</v>
      </c>
      <c r="E315" s="238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9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  <c r="AR315" s="224"/>
    </row>
    <row r="316" spans="1:44" ht="17.25" customHeight="1" thickBot="1">
      <c r="A316" s="233"/>
      <c r="B316" s="236"/>
      <c r="C316" s="26" t="s">
        <v>41</v>
      </c>
      <c r="D316" s="84" t="s">
        <v>66</v>
      </c>
      <c r="E316" s="239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  <c r="AB316" s="227"/>
      <c r="AC316" s="227"/>
      <c r="AD316" s="230"/>
      <c r="AE316" s="224"/>
      <c r="AF316" s="224"/>
      <c r="AG316" s="224"/>
      <c r="AH316" s="224"/>
      <c r="AI316" s="224"/>
      <c r="AJ316" s="224"/>
      <c r="AK316" s="224"/>
      <c r="AL316" s="224"/>
      <c r="AM316" s="224"/>
      <c r="AN316" s="224"/>
      <c r="AO316" s="224"/>
      <c r="AP316" s="224"/>
      <c r="AQ316" s="224"/>
      <c r="AR316" s="224"/>
    </row>
    <row r="317" spans="1:44" ht="42" customHeight="1">
      <c r="A317" s="231" t="s">
        <v>323</v>
      </c>
      <c r="B317" s="234" t="s">
        <v>324</v>
      </c>
      <c r="C317" s="23" t="s">
        <v>40</v>
      </c>
      <c r="D317" s="81" t="s">
        <v>341</v>
      </c>
      <c r="E317" s="237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>
        <v>82828900</v>
      </c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8">
        <f>E317+F317+H317+J317+L317+N317+P317+R317+T317+V317+X317+Z317+AB317-G317-I317-K317-M317-O317-Q317-S317-U317-W317-Y317-AA317-AC317</f>
        <v>82828900</v>
      </c>
      <c r="AE317" s="224"/>
      <c r="AF317" s="224"/>
      <c r="AG317" s="224"/>
      <c r="AH317" s="224"/>
      <c r="AI317" s="224"/>
      <c r="AJ317" s="224"/>
      <c r="AK317" s="224"/>
      <c r="AL317" s="224"/>
      <c r="AM317" s="224"/>
      <c r="AN317" s="224"/>
      <c r="AO317" s="224">
        <v>589.04</v>
      </c>
      <c r="AP317" s="224"/>
      <c r="AQ317" s="224"/>
      <c r="AR317" s="224">
        <f>42662.56</f>
        <v>42662.56</v>
      </c>
    </row>
    <row r="318" spans="1:44" ht="13.5" customHeight="1">
      <c r="A318" s="232"/>
      <c r="B318" s="235"/>
      <c r="C318" s="24" t="s">
        <v>0</v>
      </c>
      <c r="D318" s="16" t="s">
        <v>49</v>
      </c>
      <c r="E318" s="238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9"/>
      <c r="AE318" s="224"/>
      <c r="AF318" s="224"/>
      <c r="AG318" s="224"/>
      <c r="AH318" s="224"/>
      <c r="AI318" s="224"/>
      <c r="AJ318" s="224"/>
      <c r="AK318" s="224"/>
      <c r="AL318" s="224"/>
      <c r="AM318" s="224"/>
      <c r="AN318" s="224"/>
      <c r="AO318" s="224"/>
      <c r="AP318" s="224"/>
      <c r="AQ318" s="224"/>
      <c r="AR318" s="224"/>
    </row>
    <row r="319" spans="1:44" ht="13.5" customHeight="1">
      <c r="A319" s="232"/>
      <c r="B319" s="235"/>
      <c r="C319" s="25" t="s">
        <v>36</v>
      </c>
      <c r="D319" s="20" t="s">
        <v>42</v>
      </c>
      <c r="E319" s="238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9"/>
      <c r="AE319" s="224"/>
      <c r="AF319" s="224"/>
      <c r="AG319" s="224"/>
      <c r="AH319" s="224"/>
      <c r="AI319" s="224"/>
      <c r="AJ319" s="224"/>
      <c r="AK319" s="224"/>
      <c r="AL319" s="224"/>
      <c r="AM319" s="224"/>
      <c r="AN319" s="224"/>
      <c r="AO319" s="224"/>
      <c r="AP319" s="224"/>
      <c r="AQ319" s="224"/>
      <c r="AR319" s="224"/>
    </row>
    <row r="320" spans="1:44" ht="13.5" customHeight="1">
      <c r="A320" s="232"/>
      <c r="B320" s="235"/>
      <c r="C320" s="24" t="s">
        <v>37</v>
      </c>
      <c r="D320" s="17"/>
      <c r="E320" s="238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9"/>
      <c r="AE320" s="224"/>
      <c r="AF320" s="224"/>
      <c r="AG320" s="224"/>
      <c r="AH320" s="224"/>
      <c r="AI320" s="224"/>
      <c r="AJ320" s="224"/>
      <c r="AK320" s="224"/>
      <c r="AL320" s="224"/>
      <c r="AM320" s="224"/>
      <c r="AN320" s="224"/>
      <c r="AO320" s="224"/>
      <c r="AP320" s="224"/>
      <c r="AQ320" s="224"/>
      <c r="AR320" s="224"/>
    </row>
    <row r="321" spans="1:44" ht="13.5" customHeight="1">
      <c r="A321" s="232"/>
      <c r="B321" s="235"/>
      <c r="C321" s="24" t="s">
        <v>38</v>
      </c>
      <c r="D321" s="21">
        <v>82828900</v>
      </c>
      <c r="E321" s="238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9"/>
      <c r="AE321" s="224"/>
      <c r="AF321" s="224"/>
      <c r="AG321" s="224"/>
      <c r="AH321" s="224"/>
      <c r="AI321" s="224"/>
      <c r="AJ321" s="224"/>
      <c r="AK321" s="224"/>
      <c r="AL321" s="224"/>
      <c r="AM321" s="224"/>
      <c r="AN321" s="224"/>
      <c r="AO321" s="224"/>
      <c r="AP321" s="224"/>
      <c r="AQ321" s="224"/>
      <c r="AR321" s="224"/>
    </row>
    <row r="322" spans="1:44" ht="13.5" customHeight="1">
      <c r="A322" s="232"/>
      <c r="B322" s="235"/>
      <c r="C322" s="25" t="s">
        <v>39</v>
      </c>
      <c r="D322" s="166">
        <v>46716</v>
      </c>
      <c r="E322" s="238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9"/>
      <c r="AE322" s="224"/>
      <c r="AF322" s="224"/>
      <c r="AG322" s="224"/>
      <c r="AH322" s="224"/>
      <c r="AI322" s="224"/>
      <c r="AJ322" s="224"/>
      <c r="AK322" s="224"/>
      <c r="AL322" s="224"/>
      <c r="AM322" s="224"/>
      <c r="AN322" s="224"/>
      <c r="AO322" s="224"/>
      <c r="AP322" s="224"/>
      <c r="AQ322" s="224"/>
      <c r="AR322" s="224"/>
    </row>
    <row r="323" spans="1:44" ht="13.5" customHeight="1">
      <c r="A323" s="232"/>
      <c r="B323" s="235"/>
      <c r="C323" s="24" t="s">
        <v>1</v>
      </c>
      <c r="D323" s="169">
        <v>0.001</v>
      </c>
      <c r="E323" s="238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9"/>
      <c r="AE323" s="224"/>
      <c r="AF323" s="224"/>
      <c r="AG323" s="224"/>
      <c r="AH323" s="224"/>
      <c r="AI323" s="224"/>
      <c r="AJ323" s="224"/>
      <c r="AK323" s="224"/>
      <c r="AL323" s="224"/>
      <c r="AM323" s="224"/>
      <c r="AN323" s="224"/>
      <c r="AO323" s="224"/>
      <c r="AP323" s="224"/>
      <c r="AQ323" s="224"/>
      <c r="AR323" s="224"/>
    </row>
    <row r="324" spans="1:44" ht="28.5" customHeight="1" thickBot="1">
      <c r="A324" s="233"/>
      <c r="B324" s="236"/>
      <c r="C324" s="26" t="s">
        <v>41</v>
      </c>
      <c r="D324" s="84" t="s">
        <v>325</v>
      </c>
      <c r="E324" s="239"/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  <c r="AA324" s="227"/>
      <c r="AB324" s="227"/>
      <c r="AC324" s="227"/>
      <c r="AD324" s="230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</row>
    <row r="325" spans="1:44" ht="42" customHeight="1">
      <c r="A325" s="231" t="s">
        <v>342</v>
      </c>
      <c r="B325" s="234" t="s">
        <v>343</v>
      </c>
      <c r="C325" s="23" t="s">
        <v>40</v>
      </c>
      <c r="D325" s="81" t="s">
        <v>344</v>
      </c>
      <c r="E325" s="237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>
        <v>10000000</v>
      </c>
      <c r="AA325" s="225"/>
      <c r="AB325" s="225"/>
      <c r="AC325" s="225">
        <v>10000000</v>
      </c>
      <c r="AD325" s="228">
        <f>E325+F325+H325+J325+L325+N325+P325+R325+T325+V325+X325+Z325+AB325-G325-I325-K325-M325-O325-Q325-S325-U325-W325-Y325-AA325-AC325</f>
        <v>0</v>
      </c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>
        <v>589.04</v>
      </c>
      <c r="AP325" s="224"/>
      <c r="AQ325" s="224"/>
      <c r="AR325" s="224">
        <v>767.12</v>
      </c>
    </row>
    <row r="326" spans="1:44" ht="13.5" customHeight="1">
      <c r="A326" s="232"/>
      <c r="B326" s="235"/>
      <c r="C326" s="24" t="s">
        <v>0</v>
      </c>
      <c r="D326" s="16" t="s">
        <v>345</v>
      </c>
      <c r="E326" s="238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9"/>
      <c r="AE326" s="224"/>
      <c r="AF326" s="224"/>
      <c r="AG326" s="224"/>
      <c r="AH326" s="224"/>
      <c r="AI326" s="224"/>
      <c r="AJ326" s="224"/>
      <c r="AK326" s="224"/>
      <c r="AL326" s="224"/>
      <c r="AM326" s="224"/>
      <c r="AN326" s="224"/>
      <c r="AO326" s="224"/>
      <c r="AP326" s="224"/>
      <c r="AQ326" s="224"/>
      <c r="AR326" s="224"/>
    </row>
    <row r="327" spans="1:44" ht="13.5" customHeight="1">
      <c r="A327" s="232"/>
      <c r="B327" s="235"/>
      <c r="C327" s="25" t="s">
        <v>36</v>
      </c>
      <c r="D327" s="20" t="s">
        <v>42</v>
      </c>
      <c r="E327" s="238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9"/>
      <c r="AE327" s="224"/>
      <c r="AF327" s="224"/>
      <c r="AG327" s="224"/>
      <c r="AH327" s="224"/>
      <c r="AI327" s="224"/>
      <c r="AJ327" s="224"/>
      <c r="AK327" s="224"/>
      <c r="AL327" s="224"/>
      <c r="AM327" s="224"/>
      <c r="AN327" s="224"/>
      <c r="AO327" s="224"/>
      <c r="AP327" s="224"/>
      <c r="AQ327" s="224"/>
      <c r="AR327" s="224"/>
    </row>
    <row r="328" spans="1:44" ht="13.5" customHeight="1">
      <c r="A328" s="232"/>
      <c r="B328" s="235"/>
      <c r="C328" s="24" t="s">
        <v>37</v>
      </c>
      <c r="D328" s="17"/>
      <c r="E328" s="238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9"/>
      <c r="AE328" s="224"/>
      <c r="AF328" s="224"/>
      <c r="AG328" s="224"/>
      <c r="AH328" s="224"/>
      <c r="AI328" s="224"/>
      <c r="AJ328" s="224"/>
      <c r="AK328" s="224"/>
      <c r="AL328" s="224"/>
      <c r="AM328" s="224"/>
      <c r="AN328" s="224"/>
      <c r="AO328" s="224"/>
      <c r="AP328" s="224"/>
      <c r="AQ328" s="224"/>
      <c r="AR328" s="224"/>
    </row>
    <row r="329" spans="1:44" ht="13.5" customHeight="1">
      <c r="A329" s="232"/>
      <c r="B329" s="235"/>
      <c r="C329" s="24" t="s">
        <v>38</v>
      </c>
      <c r="D329" s="21">
        <v>10000000</v>
      </c>
      <c r="E329" s="238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9"/>
      <c r="AE329" s="224"/>
      <c r="AF329" s="224"/>
      <c r="AG329" s="224"/>
      <c r="AH329" s="224"/>
      <c r="AI329" s="224"/>
      <c r="AJ329" s="224"/>
      <c r="AK329" s="224"/>
      <c r="AL329" s="224"/>
      <c r="AM329" s="224"/>
      <c r="AN329" s="224"/>
      <c r="AO329" s="224"/>
      <c r="AP329" s="224"/>
      <c r="AQ329" s="224"/>
      <c r="AR329" s="224"/>
    </row>
    <row r="330" spans="1:44" ht="13.5" customHeight="1">
      <c r="A330" s="232"/>
      <c r="B330" s="235"/>
      <c r="C330" s="25" t="s">
        <v>39</v>
      </c>
      <c r="D330" s="166">
        <v>44909</v>
      </c>
      <c r="E330" s="238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9"/>
      <c r="AE330" s="224"/>
      <c r="AF330" s="224"/>
      <c r="AG330" s="224"/>
      <c r="AH330" s="224"/>
      <c r="AI330" s="224"/>
      <c r="AJ330" s="224"/>
      <c r="AK330" s="224"/>
      <c r="AL330" s="224"/>
      <c r="AM330" s="224"/>
      <c r="AN330" s="224"/>
      <c r="AO330" s="224"/>
      <c r="AP330" s="224"/>
      <c r="AQ330" s="224"/>
      <c r="AR330" s="224"/>
    </row>
    <row r="331" spans="1:44" ht="13.5" customHeight="1">
      <c r="A331" s="232"/>
      <c r="B331" s="235"/>
      <c r="C331" s="24" t="s">
        <v>1</v>
      </c>
      <c r="D331" s="169">
        <v>0.001</v>
      </c>
      <c r="E331" s="238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9"/>
      <c r="AE331" s="224"/>
      <c r="AF331" s="224"/>
      <c r="AG331" s="224"/>
      <c r="AH331" s="224"/>
      <c r="AI331" s="224"/>
      <c r="AJ331" s="224"/>
      <c r="AK331" s="224"/>
      <c r="AL331" s="224"/>
      <c r="AM331" s="224"/>
      <c r="AN331" s="224"/>
      <c r="AO331" s="224"/>
      <c r="AP331" s="224"/>
      <c r="AQ331" s="224"/>
      <c r="AR331" s="224"/>
    </row>
    <row r="332" spans="1:44" ht="28.5" customHeight="1" thickBot="1">
      <c r="A332" s="233"/>
      <c r="B332" s="236"/>
      <c r="C332" s="26" t="s">
        <v>41</v>
      </c>
      <c r="D332" s="84" t="s">
        <v>346</v>
      </c>
      <c r="E332" s="239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  <c r="AB332" s="227"/>
      <c r="AC332" s="227"/>
      <c r="AD332" s="230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</row>
    <row r="333" spans="1:44" ht="17.25" customHeight="1" hidden="1">
      <c r="A333" s="29"/>
      <c r="B333" s="113"/>
      <c r="C333" s="30"/>
      <c r="D333" s="204"/>
      <c r="E333" s="137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125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</row>
    <row r="334" spans="1:44" ht="17.25" customHeight="1" hidden="1">
      <c r="A334" s="29"/>
      <c r="B334" s="113"/>
      <c r="C334" s="30"/>
      <c r="D334" s="204"/>
      <c r="E334" s="137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125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</row>
    <row r="335" spans="1:44" ht="17.25" customHeight="1" hidden="1">
      <c r="A335" s="29"/>
      <c r="B335" s="113"/>
      <c r="C335" s="30"/>
      <c r="D335" s="204"/>
      <c r="E335" s="137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125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</row>
    <row r="336" spans="1:44" ht="17.25" customHeight="1" hidden="1">
      <c r="A336" s="29"/>
      <c r="B336" s="113"/>
      <c r="C336" s="30"/>
      <c r="D336" s="204"/>
      <c r="E336" s="137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125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</row>
    <row r="337" spans="1:44" ht="17.25" customHeight="1" hidden="1">
      <c r="A337" s="29"/>
      <c r="B337" s="113"/>
      <c r="C337" s="30"/>
      <c r="D337" s="204"/>
      <c r="E337" s="137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125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</row>
    <row r="338" spans="1:44" ht="17.25" customHeight="1" hidden="1">
      <c r="A338" s="29"/>
      <c r="B338" s="113"/>
      <c r="C338" s="30"/>
      <c r="D338" s="204"/>
      <c r="E338" s="137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125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</row>
    <row r="339" spans="1:44" ht="17.25" customHeight="1" hidden="1">
      <c r="A339" s="29"/>
      <c r="B339" s="113"/>
      <c r="C339" s="30"/>
      <c r="D339" s="204"/>
      <c r="E339" s="137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125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</row>
    <row r="340" spans="1:44" ht="17.25" customHeight="1" hidden="1">
      <c r="A340" s="29"/>
      <c r="B340" s="113"/>
      <c r="C340" s="30"/>
      <c r="D340" s="204"/>
      <c r="E340" s="137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125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</row>
    <row r="341" spans="1:44" ht="17.25" customHeight="1" hidden="1">
      <c r="A341" s="29"/>
      <c r="B341" s="113"/>
      <c r="C341" s="30"/>
      <c r="D341" s="204"/>
      <c r="E341" s="137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125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</row>
    <row r="342" spans="1:44" ht="17.25" customHeight="1" hidden="1">
      <c r="A342" s="29"/>
      <c r="B342" s="113"/>
      <c r="C342" s="30"/>
      <c r="D342" s="204"/>
      <c r="E342" s="137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125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</row>
    <row r="343" spans="1:44" ht="17.25" customHeight="1" hidden="1">
      <c r="A343" s="29"/>
      <c r="B343" s="113"/>
      <c r="C343" s="30"/>
      <c r="D343" s="204"/>
      <c r="E343" s="137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125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</row>
    <row r="344" spans="1:44" ht="17.25" customHeight="1" hidden="1">
      <c r="A344" s="29"/>
      <c r="B344" s="113"/>
      <c r="C344" s="30"/>
      <c r="D344" s="204"/>
      <c r="E344" s="137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125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</row>
    <row r="345" spans="1:44" ht="17.25" customHeight="1" hidden="1">
      <c r="A345" s="29"/>
      <c r="B345" s="113"/>
      <c r="C345" s="30"/>
      <c r="D345" s="204"/>
      <c r="E345" s="137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125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</row>
    <row r="346" spans="1:44" ht="17.25" customHeight="1" hidden="1">
      <c r="A346" s="29"/>
      <c r="B346" s="113"/>
      <c r="C346" s="30"/>
      <c r="D346" s="204"/>
      <c r="E346" s="137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125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</row>
    <row r="347" spans="1:44" ht="17.25" customHeight="1" hidden="1">
      <c r="A347" s="29"/>
      <c r="B347" s="113"/>
      <c r="C347" s="30"/>
      <c r="D347" s="204"/>
      <c r="E347" s="137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125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</row>
    <row r="348" spans="1:44" ht="17.25" customHeight="1" hidden="1">
      <c r="A348" s="29"/>
      <c r="B348" s="113"/>
      <c r="C348" s="30"/>
      <c r="D348" s="204"/>
      <c r="E348" s="137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125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</row>
    <row r="349" spans="1:44" ht="17.25" customHeight="1" hidden="1">
      <c r="A349" s="29"/>
      <c r="B349" s="113"/>
      <c r="C349" s="30"/>
      <c r="D349" s="204"/>
      <c r="E349" s="137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125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</row>
    <row r="350" spans="1:44" ht="17.25" customHeight="1" hidden="1">
      <c r="A350" s="29"/>
      <c r="B350" s="113"/>
      <c r="C350" s="30"/>
      <c r="D350" s="204"/>
      <c r="E350" s="137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125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</row>
    <row r="351" spans="1:44" ht="17.25" customHeight="1" hidden="1">
      <c r="A351" s="29"/>
      <c r="B351" s="113"/>
      <c r="C351" s="30"/>
      <c r="D351" s="204"/>
      <c r="E351" s="137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125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</row>
    <row r="352" spans="1:44" ht="17.25" customHeight="1" hidden="1">
      <c r="A352" s="29"/>
      <c r="B352" s="113"/>
      <c r="C352" s="30"/>
      <c r="D352" s="204"/>
      <c r="E352" s="137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125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</row>
    <row r="353" spans="1:44" ht="17.25" customHeight="1" hidden="1">
      <c r="A353" s="29"/>
      <c r="B353" s="113"/>
      <c r="C353" s="30"/>
      <c r="D353" s="204"/>
      <c r="E353" s="137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125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</row>
    <row r="354" spans="1:44" ht="17.25" customHeight="1" hidden="1">
      <c r="A354" s="29"/>
      <c r="B354" s="113"/>
      <c r="C354" s="30"/>
      <c r="D354" s="204"/>
      <c r="E354" s="137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125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</row>
    <row r="355" spans="1:44" ht="17.25" customHeight="1" hidden="1">
      <c r="A355" s="29"/>
      <c r="B355" s="113"/>
      <c r="C355" s="30"/>
      <c r="D355" s="204"/>
      <c r="E355" s="137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125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</row>
    <row r="356" spans="1:44" ht="17.25" customHeight="1" hidden="1">
      <c r="A356" s="29"/>
      <c r="B356" s="113"/>
      <c r="C356" s="30"/>
      <c r="D356" s="204"/>
      <c r="E356" s="137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125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</row>
    <row r="357" spans="1:44" ht="17.25" customHeight="1" hidden="1">
      <c r="A357" s="29"/>
      <c r="B357" s="113"/>
      <c r="C357" s="30"/>
      <c r="D357" s="204"/>
      <c r="E357" s="137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125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</row>
    <row r="358" spans="1:44" ht="17.25" customHeight="1" hidden="1">
      <c r="A358" s="29"/>
      <c r="B358" s="113"/>
      <c r="C358" s="30"/>
      <c r="D358" s="204"/>
      <c r="E358" s="137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125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</row>
    <row r="359" spans="1:44" ht="17.25" customHeight="1" hidden="1">
      <c r="A359" s="29"/>
      <c r="B359" s="113"/>
      <c r="C359" s="30"/>
      <c r="D359" s="204"/>
      <c r="E359" s="137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125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</row>
    <row r="360" spans="1:44" ht="17.25" customHeight="1" hidden="1">
      <c r="A360" s="29"/>
      <c r="B360" s="113"/>
      <c r="C360" s="30"/>
      <c r="D360" s="204"/>
      <c r="E360" s="137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125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</row>
    <row r="361" spans="1:44" ht="17.25" customHeight="1" hidden="1">
      <c r="A361" s="29"/>
      <c r="B361" s="113"/>
      <c r="C361" s="30"/>
      <c r="D361" s="204"/>
      <c r="E361" s="137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125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</row>
    <row r="362" spans="1:44" ht="17.25" customHeight="1" hidden="1">
      <c r="A362" s="29"/>
      <c r="B362" s="113"/>
      <c r="C362" s="30"/>
      <c r="D362" s="204"/>
      <c r="E362" s="137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125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</row>
    <row r="363" spans="1:44" ht="17.25" customHeight="1" hidden="1">
      <c r="A363" s="29"/>
      <c r="B363" s="113"/>
      <c r="C363" s="30"/>
      <c r="D363" s="204"/>
      <c r="E363" s="137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125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</row>
    <row r="364" spans="1:44" ht="17.25" customHeight="1" hidden="1">
      <c r="A364" s="29"/>
      <c r="B364" s="113"/>
      <c r="C364" s="30"/>
      <c r="D364" s="204"/>
      <c r="E364" s="137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125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</row>
    <row r="365" spans="1:44" ht="17.25" customHeight="1" hidden="1">
      <c r="A365" s="29"/>
      <c r="B365" s="113"/>
      <c r="C365" s="30"/>
      <c r="D365" s="204"/>
      <c r="E365" s="137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125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</row>
    <row r="366" spans="1:44" ht="17.25" customHeight="1" hidden="1">
      <c r="A366" s="29"/>
      <c r="B366" s="113"/>
      <c r="C366" s="30"/>
      <c r="D366" s="204"/>
      <c r="E366" s="137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125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</row>
    <row r="367" spans="1:44" ht="17.25" customHeight="1" hidden="1">
      <c r="A367" s="29"/>
      <c r="B367" s="113"/>
      <c r="C367" s="30"/>
      <c r="D367" s="204"/>
      <c r="E367" s="137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125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</row>
    <row r="368" spans="1:44" ht="17.25" customHeight="1" hidden="1">
      <c r="A368" s="29"/>
      <c r="B368" s="113"/>
      <c r="C368" s="30"/>
      <c r="D368" s="204"/>
      <c r="E368" s="137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125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</row>
    <row r="369" spans="1:44" ht="17.25" customHeight="1" hidden="1">
      <c r="A369" s="29"/>
      <c r="B369" s="113"/>
      <c r="C369" s="30"/>
      <c r="D369" s="204"/>
      <c r="E369" s="137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125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</row>
    <row r="370" spans="1:44" ht="17.25" customHeight="1" hidden="1">
      <c r="A370" s="29"/>
      <c r="B370" s="113"/>
      <c r="C370" s="30"/>
      <c r="D370" s="204"/>
      <c r="E370" s="137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125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</row>
    <row r="371" spans="1:44" ht="17.25" customHeight="1" hidden="1">
      <c r="A371" s="29"/>
      <c r="B371" s="113"/>
      <c r="C371" s="30"/>
      <c r="D371" s="204"/>
      <c r="E371" s="137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125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</row>
    <row r="372" spans="1:44" ht="17.25" customHeight="1" hidden="1">
      <c r="A372" s="29"/>
      <c r="B372" s="113"/>
      <c r="C372" s="30"/>
      <c r="D372" s="204"/>
      <c r="E372" s="137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125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</row>
    <row r="373" spans="1:44" ht="17.25" customHeight="1" hidden="1">
      <c r="A373" s="29"/>
      <c r="B373" s="113"/>
      <c r="C373" s="30"/>
      <c r="D373" s="204"/>
      <c r="E373" s="137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125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</row>
    <row r="374" spans="1:44" ht="17.25" customHeight="1" hidden="1">
      <c r="A374" s="29"/>
      <c r="B374" s="113"/>
      <c r="C374" s="30"/>
      <c r="D374" s="204"/>
      <c r="E374" s="137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125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</row>
    <row r="375" spans="1:44" ht="17.25" customHeight="1" hidden="1">
      <c r="A375" s="29"/>
      <c r="B375" s="113"/>
      <c r="C375" s="30"/>
      <c r="D375" s="204"/>
      <c r="E375" s="137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125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</row>
    <row r="376" spans="1:44" ht="17.25" customHeight="1" hidden="1">
      <c r="A376" s="29"/>
      <c r="B376" s="113"/>
      <c r="C376" s="30"/>
      <c r="D376" s="204"/>
      <c r="E376" s="137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125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</row>
    <row r="377" spans="1:44" ht="17.25" customHeight="1" hidden="1">
      <c r="A377" s="29"/>
      <c r="B377" s="113"/>
      <c r="C377" s="30"/>
      <c r="D377" s="204"/>
      <c r="E377" s="137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125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</row>
    <row r="378" spans="1:44" ht="17.25" customHeight="1" hidden="1">
      <c r="A378" s="29"/>
      <c r="B378" s="113"/>
      <c r="C378" s="30"/>
      <c r="D378" s="204"/>
      <c r="E378" s="137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125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</row>
    <row r="379" spans="1:44" ht="17.25" customHeight="1" hidden="1">
      <c r="A379" s="29"/>
      <c r="B379" s="113"/>
      <c r="C379" s="30"/>
      <c r="D379" s="204"/>
      <c r="E379" s="137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125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</row>
    <row r="380" spans="1:44" ht="17.25" customHeight="1" hidden="1">
      <c r="A380" s="29"/>
      <c r="B380" s="113"/>
      <c r="C380" s="30"/>
      <c r="D380" s="204"/>
      <c r="E380" s="137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125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</row>
    <row r="381" spans="1:44" ht="17.25" customHeight="1" hidden="1">
      <c r="A381" s="29"/>
      <c r="B381" s="113"/>
      <c r="C381" s="30"/>
      <c r="D381" s="204"/>
      <c r="E381" s="137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125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</row>
    <row r="382" spans="1:44" ht="17.25" customHeight="1" hidden="1">
      <c r="A382" s="29"/>
      <c r="B382" s="113"/>
      <c r="C382" s="30"/>
      <c r="D382" s="204"/>
      <c r="E382" s="137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125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</row>
    <row r="383" spans="1:44" ht="17.25" customHeight="1" hidden="1">
      <c r="A383" s="29"/>
      <c r="B383" s="113"/>
      <c r="C383" s="30"/>
      <c r="D383" s="204"/>
      <c r="E383" s="137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125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</row>
    <row r="384" spans="1:44" ht="17.25" customHeight="1" hidden="1">
      <c r="A384" s="29"/>
      <c r="B384" s="113"/>
      <c r="C384" s="30"/>
      <c r="D384" s="204"/>
      <c r="E384" s="137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125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</row>
    <row r="385" spans="1:44" ht="17.25" customHeight="1" hidden="1">
      <c r="A385" s="29"/>
      <c r="B385" s="113"/>
      <c r="C385" s="30"/>
      <c r="D385" s="204"/>
      <c r="E385" s="137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125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</row>
    <row r="386" spans="1:44" ht="17.25" customHeight="1" hidden="1">
      <c r="A386" s="29"/>
      <c r="B386" s="113"/>
      <c r="C386" s="30"/>
      <c r="D386" s="204"/>
      <c r="E386" s="137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125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</row>
    <row r="387" spans="1:44" ht="17.25" customHeight="1" hidden="1">
      <c r="A387" s="29"/>
      <c r="B387" s="113"/>
      <c r="C387" s="30"/>
      <c r="D387" s="204"/>
      <c r="E387" s="137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125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</row>
    <row r="388" spans="1:44" ht="17.25" customHeight="1" hidden="1">
      <c r="A388" s="29"/>
      <c r="B388" s="113"/>
      <c r="C388" s="30"/>
      <c r="D388" s="204"/>
      <c r="E388" s="137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125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</row>
    <row r="389" spans="1:44" ht="17.25" customHeight="1" hidden="1">
      <c r="A389" s="29"/>
      <c r="B389" s="113"/>
      <c r="C389" s="30"/>
      <c r="D389" s="204"/>
      <c r="E389" s="137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125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</row>
    <row r="390" spans="1:44" ht="17.25" customHeight="1" hidden="1">
      <c r="A390" s="29"/>
      <c r="B390" s="113"/>
      <c r="C390" s="30"/>
      <c r="D390" s="204"/>
      <c r="E390" s="137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125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</row>
    <row r="391" spans="1:44" ht="17.25" customHeight="1" hidden="1">
      <c r="A391" s="29"/>
      <c r="B391" s="113"/>
      <c r="C391" s="30"/>
      <c r="D391" s="204"/>
      <c r="E391" s="137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125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</row>
    <row r="392" spans="1:44" ht="17.25" customHeight="1" hidden="1">
      <c r="A392" s="29"/>
      <c r="B392" s="113"/>
      <c r="C392" s="30"/>
      <c r="D392" s="204"/>
      <c r="E392" s="137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125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</row>
    <row r="393" spans="1:44" ht="17.25" customHeight="1" hidden="1">
      <c r="A393" s="29"/>
      <c r="B393" s="113"/>
      <c r="C393" s="30"/>
      <c r="D393" s="204"/>
      <c r="E393" s="137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125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</row>
    <row r="394" spans="1:44" ht="17.25" customHeight="1" hidden="1">
      <c r="A394" s="29"/>
      <c r="B394" s="113"/>
      <c r="C394" s="30"/>
      <c r="D394" s="204"/>
      <c r="E394" s="137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125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</row>
    <row r="395" spans="1:44" ht="17.25" customHeight="1" hidden="1">
      <c r="A395" s="29"/>
      <c r="B395" s="113"/>
      <c r="C395" s="30"/>
      <c r="D395" s="204"/>
      <c r="E395" s="137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125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</row>
    <row r="396" spans="1:44" ht="17.25" customHeight="1" hidden="1">
      <c r="A396" s="29"/>
      <c r="B396" s="113"/>
      <c r="C396" s="30"/>
      <c r="D396" s="204"/>
      <c r="E396" s="137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125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</row>
    <row r="397" spans="1:44" ht="17.25" customHeight="1" hidden="1">
      <c r="A397" s="29"/>
      <c r="B397" s="113"/>
      <c r="C397" s="30"/>
      <c r="D397" s="204"/>
      <c r="E397" s="137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125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</row>
    <row r="398" spans="1:44" ht="17.25" customHeight="1" hidden="1">
      <c r="A398" s="29"/>
      <c r="B398" s="113"/>
      <c r="C398" s="30"/>
      <c r="D398" s="204"/>
      <c r="E398" s="137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125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</row>
    <row r="399" spans="1:44" ht="17.25" customHeight="1" hidden="1">
      <c r="A399" s="29"/>
      <c r="B399" s="113"/>
      <c r="C399" s="30"/>
      <c r="D399" s="204"/>
      <c r="E399" s="137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125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</row>
    <row r="400" spans="1:44" ht="17.25" customHeight="1" hidden="1">
      <c r="A400" s="29"/>
      <c r="B400" s="113"/>
      <c r="C400" s="30"/>
      <c r="D400" s="204"/>
      <c r="E400" s="137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125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</row>
    <row r="401" spans="1:44" ht="17.25" customHeight="1" hidden="1">
      <c r="A401" s="29"/>
      <c r="B401" s="113"/>
      <c r="C401" s="30"/>
      <c r="D401" s="204"/>
      <c r="E401" s="137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125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</row>
    <row r="402" spans="1:44" ht="17.25" customHeight="1" hidden="1">
      <c r="A402" s="29"/>
      <c r="B402" s="113"/>
      <c r="C402" s="30"/>
      <c r="D402" s="204"/>
      <c r="E402" s="137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125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</row>
    <row r="403" spans="1:44" ht="17.25" customHeight="1" hidden="1">
      <c r="A403" s="29"/>
      <c r="B403" s="113"/>
      <c r="C403" s="30"/>
      <c r="D403" s="204"/>
      <c r="E403" s="137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125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</row>
    <row r="404" spans="1:44" ht="17.25" customHeight="1" hidden="1">
      <c r="A404" s="29"/>
      <c r="B404" s="113"/>
      <c r="C404" s="30"/>
      <c r="D404" s="204"/>
      <c r="E404" s="137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125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</row>
    <row r="405" spans="1:44" ht="17.25" customHeight="1" hidden="1">
      <c r="A405" s="29"/>
      <c r="B405" s="113"/>
      <c r="C405" s="30"/>
      <c r="D405" s="204"/>
      <c r="E405" s="137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125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</row>
    <row r="406" spans="1:44" ht="17.25" customHeight="1" hidden="1">
      <c r="A406" s="29"/>
      <c r="B406" s="113"/>
      <c r="C406" s="30"/>
      <c r="D406" s="204"/>
      <c r="E406" s="137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125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</row>
    <row r="407" spans="1:44" ht="17.25" customHeight="1" hidden="1">
      <c r="A407" s="29"/>
      <c r="B407" s="113"/>
      <c r="C407" s="30"/>
      <c r="D407" s="204"/>
      <c r="E407" s="137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125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</row>
    <row r="408" spans="1:44" ht="17.25" customHeight="1" hidden="1">
      <c r="A408" s="29"/>
      <c r="B408" s="113"/>
      <c r="C408" s="30"/>
      <c r="D408" s="204"/>
      <c r="E408" s="137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125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</row>
    <row r="409" spans="1:44" ht="17.25" customHeight="1" hidden="1">
      <c r="A409" s="29"/>
      <c r="B409" s="113"/>
      <c r="C409" s="30"/>
      <c r="D409" s="204"/>
      <c r="E409" s="137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125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</row>
    <row r="410" spans="1:44" ht="17.25" customHeight="1" hidden="1">
      <c r="A410" s="29"/>
      <c r="B410" s="113"/>
      <c r="C410" s="30"/>
      <c r="D410" s="204"/>
      <c r="E410" s="137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125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</row>
    <row r="411" spans="1:44" ht="17.25" customHeight="1" hidden="1">
      <c r="A411" s="29"/>
      <c r="B411" s="113"/>
      <c r="C411" s="30"/>
      <c r="D411" s="204"/>
      <c r="E411" s="137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125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</row>
    <row r="412" spans="1:44" ht="17.25" customHeight="1" hidden="1">
      <c r="A412" s="29"/>
      <c r="B412" s="113"/>
      <c r="C412" s="30"/>
      <c r="D412" s="204"/>
      <c r="E412" s="137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125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</row>
    <row r="413" spans="1:44" ht="17.25" customHeight="1" hidden="1">
      <c r="A413" s="29"/>
      <c r="B413" s="113"/>
      <c r="C413" s="30"/>
      <c r="D413" s="204"/>
      <c r="E413" s="137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125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</row>
    <row r="414" spans="1:44" ht="17.25" customHeight="1" hidden="1">
      <c r="A414" s="29"/>
      <c r="B414" s="113"/>
      <c r="C414" s="30"/>
      <c r="D414" s="204"/>
      <c r="E414" s="137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125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</row>
    <row r="415" spans="1:44" ht="17.25" customHeight="1" hidden="1">
      <c r="A415" s="29"/>
      <c r="B415" s="113"/>
      <c r="C415" s="30"/>
      <c r="D415" s="204"/>
      <c r="E415" s="137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125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</row>
    <row r="416" spans="1:44" ht="17.25" customHeight="1" hidden="1">
      <c r="A416" s="29"/>
      <c r="B416" s="113"/>
      <c r="C416" s="30"/>
      <c r="D416" s="204"/>
      <c r="E416" s="137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125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</row>
    <row r="417" spans="1:44" ht="17.25" customHeight="1" hidden="1">
      <c r="A417" s="29"/>
      <c r="B417" s="113"/>
      <c r="C417" s="30"/>
      <c r="D417" s="204"/>
      <c r="E417" s="137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125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</row>
    <row r="418" spans="1:44" ht="17.25" customHeight="1" hidden="1">
      <c r="A418" s="29"/>
      <c r="B418" s="113"/>
      <c r="C418" s="30"/>
      <c r="D418" s="204"/>
      <c r="E418" s="137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125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</row>
    <row r="419" spans="1:44" ht="17.25" customHeight="1" hidden="1">
      <c r="A419" s="29"/>
      <c r="B419" s="113"/>
      <c r="C419" s="30"/>
      <c r="D419" s="204"/>
      <c r="E419" s="137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125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</row>
    <row r="420" spans="1:44" ht="17.25" customHeight="1" hidden="1">
      <c r="A420" s="29"/>
      <c r="B420" s="113"/>
      <c r="C420" s="30"/>
      <c r="D420" s="204"/>
      <c r="E420" s="137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125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</row>
    <row r="421" spans="1:44" ht="17.25" customHeight="1" hidden="1">
      <c r="A421" s="29"/>
      <c r="B421" s="113"/>
      <c r="C421" s="30"/>
      <c r="D421" s="204"/>
      <c r="E421" s="137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125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</row>
    <row r="422" spans="1:44" ht="17.25" customHeight="1" hidden="1">
      <c r="A422" s="29"/>
      <c r="B422" s="113"/>
      <c r="C422" s="30"/>
      <c r="D422" s="204"/>
      <c r="E422" s="137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125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</row>
    <row r="423" spans="1:44" ht="17.25" customHeight="1" hidden="1">
      <c r="A423" s="29"/>
      <c r="B423" s="113"/>
      <c r="C423" s="30"/>
      <c r="D423" s="204"/>
      <c r="E423" s="137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125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</row>
    <row r="424" spans="1:44" ht="17.25" customHeight="1" hidden="1">
      <c r="A424" s="29"/>
      <c r="B424" s="113"/>
      <c r="C424" s="30"/>
      <c r="D424" s="204"/>
      <c r="E424" s="137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125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</row>
    <row r="425" spans="1:44" ht="17.25" customHeight="1" hidden="1">
      <c r="A425" s="29"/>
      <c r="B425" s="113"/>
      <c r="C425" s="30"/>
      <c r="D425" s="204"/>
      <c r="E425" s="137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125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</row>
    <row r="426" spans="1:44" ht="17.25" customHeight="1" hidden="1">
      <c r="A426" s="29"/>
      <c r="B426" s="113"/>
      <c r="C426" s="30"/>
      <c r="D426" s="204"/>
      <c r="E426" s="137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125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</row>
    <row r="427" spans="1:44" ht="17.25" customHeight="1" hidden="1">
      <c r="A427" s="29"/>
      <c r="B427" s="113"/>
      <c r="C427" s="30"/>
      <c r="D427" s="204"/>
      <c r="E427" s="137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125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</row>
    <row r="428" spans="1:44" ht="17.25" customHeight="1" hidden="1">
      <c r="A428" s="29"/>
      <c r="B428" s="113"/>
      <c r="C428" s="30"/>
      <c r="D428" s="204"/>
      <c r="E428" s="137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125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</row>
    <row r="429" spans="1:44" ht="17.25" customHeight="1" hidden="1">
      <c r="A429" s="29"/>
      <c r="B429" s="113"/>
      <c r="C429" s="30"/>
      <c r="D429" s="204"/>
      <c r="E429" s="137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125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</row>
    <row r="430" spans="1:44" ht="17.25" customHeight="1" hidden="1">
      <c r="A430" s="29"/>
      <c r="B430" s="113"/>
      <c r="C430" s="30"/>
      <c r="D430" s="204"/>
      <c r="E430" s="137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125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</row>
    <row r="431" spans="1:44" ht="17.25" customHeight="1" hidden="1">
      <c r="A431" s="29"/>
      <c r="B431" s="113"/>
      <c r="C431" s="30"/>
      <c r="D431" s="204"/>
      <c r="E431" s="137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125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</row>
    <row r="432" spans="1:44" ht="17.25" customHeight="1" hidden="1">
      <c r="A432" s="29"/>
      <c r="B432" s="113"/>
      <c r="C432" s="30"/>
      <c r="D432" s="204"/>
      <c r="E432" s="137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125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</row>
    <row r="433" spans="1:44" ht="17.25" customHeight="1" hidden="1">
      <c r="A433" s="29"/>
      <c r="B433" s="113"/>
      <c r="C433" s="30"/>
      <c r="D433" s="204"/>
      <c r="E433" s="137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125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</row>
    <row r="434" spans="1:44" ht="17.25" customHeight="1" hidden="1">
      <c r="A434" s="29"/>
      <c r="B434" s="113"/>
      <c r="C434" s="30"/>
      <c r="D434" s="204"/>
      <c r="E434" s="137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125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</row>
    <row r="435" spans="1:44" ht="17.25" customHeight="1" hidden="1">
      <c r="A435" s="29"/>
      <c r="B435" s="113"/>
      <c r="C435" s="30"/>
      <c r="D435" s="204"/>
      <c r="E435" s="137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125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</row>
    <row r="436" spans="1:44" ht="17.25" customHeight="1" hidden="1">
      <c r="A436" s="29"/>
      <c r="B436" s="113"/>
      <c r="C436" s="30"/>
      <c r="D436" s="204"/>
      <c r="E436" s="137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125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</row>
    <row r="437" spans="1:44" ht="17.25" customHeight="1" hidden="1">
      <c r="A437" s="29"/>
      <c r="B437" s="113"/>
      <c r="C437" s="30"/>
      <c r="D437" s="204"/>
      <c r="E437" s="137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125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</row>
    <row r="438" spans="1:44" ht="17.25" customHeight="1" hidden="1">
      <c r="A438" s="29"/>
      <c r="B438" s="113"/>
      <c r="C438" s="30"/>
      <c r="D438" s="204"/>
      <c r="E438" s="137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125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</row>
    <row r="439" spans="1:44" ht="17.25" customHeight="1" hidden="1">
      <c r="A439" s="29"/>
      <c r="B439" s="113"/>
      <c r="C439" s="30"/>
      <c r="D439" s="204"/>
      <c r="E439" s="137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125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</row>
    <row r="440" spans="1:44" ht="17.25" customHeight="1" hidden="1">
      <c r="A440" s="29"/>
      <c r="B440" s="113"/>
      <c r="C440" s="30"/>
      <c r="D440" s="204"/>
      <c r="E440" s="137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125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</row>
    <row r="441" spans="1:44" ht="17.25" customHeight="1" hidden="1">
      <c r="A441" s="29"/>
      <c r="B441" s="113"/>
      <c r="C441" s="30"/>
      <c r="D441" s="204"/>
      <c r="E441" s="137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125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</row>
    <row r="442" spans="1:44" ht="17.25" customHeight="1" hidden="1">
      <c r="A442" s="29"/>
      <c r="B442" s="113"/>
      <c r="C442" s="30"/>
      <c r="D442" s="204"/>
      <c r="E442" s="137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125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</row>
    <row r="443" spans="1:44" ht="17.25" customHeight="1" hidden="1">
      <c r="A443" s="29"/>
      <c r="B443" s="113"/>
      <c r="C443" s="30"/>
      <c r="D443" s="204"/>
      <c r="E443" s="137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125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</row>
    <row r="444" spans="1:44" ht="17.25" customHeight="1" hidden="1">
      <c r="A444" s="29"/>
      <c r="B444" s="113"/>
      <c r="C444" s="30"/>
      <c r="D444" s="204"/>
      <c r="E444" s="137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125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</row>
    <row r="445" spans="1:44" ht="17.25" customHeight="1" hidden="1">
      <c r="A445" s="29"/>
      <c r="B445" s="113"/>
      <c r="C445" s="30"/>
      <c r="D445" s="204"/>
      <c r="E445" s="137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125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</row>
    <row r="446" spans="1:44" ht="17.25" customHeight="1" hidden="1">
      <c r="A446" s="29"/>
      <c r="B446" s="113"/>
      <c r="C446" s="30"/>
      <c r="D446" s="204"/>
      <c r="E446" s="137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125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</row>
    <row r="447" spans="1:44" ht="17.25" customHeight="1" hidden="1">
      <c r="A447" s="29"/>
      <c r="B447" s="113"/>
      <c r="C447" s="30"/>
      <c r="D447" s="204"/>
      <c r="E447" s="137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125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</row>
    <row r="448" spans="1:44" ht="17.25" customHeight="1" hidden="1">
      <c r="A448" s="29"/>
      <c r="B448" s="113"/>
      <c r="C448" s="30"/>
      <c r="D448" s="204"/>
      <c r="E448" s="137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125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</row>
    <row r="449" spans="1:44" ht="17.25" customHeight="1" hidden="1">
      <c r="A449" s="29"/>
      <c r="B449" s="113"/>
      <c r="C449" s="30"/>
      <c r="D449" s="204"/>
      <c r="E449" s="137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125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</row>
    <row r="450" spans="1:44" ht="17.25" customHeight="1" hidden="1">
      <c r="A450" s="29"/>
      <c r="B450" s="113"/>
      <c r="C450" s="30"/>
      <c r="D450" s="204"/>
      <c r="E450" s="137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125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</row>
    <row r="451" spans="1:44" ht="17.25" customHeight="1" hidden="1">
      <c r="A451" s="29"/>
      <c r="B451" s="113"/>
      <c r="C451" s="30"/>
      <c r="D451" s="204"/>
      <c r="E451" s="137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125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</row>
    <row r="452" spans="1:44" ht="17.25" customHeight="1" hidden="1">
      <c r="A452" s="29"/>
      <c r="B452" s="113"/>
      <c r="C452" s="30"/>
      <c r="D452" s="204"/>
      <c r="E452" s="137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125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</row>
    <row r="453" spans="1:44" ht="17.25" customHeight="1" hidden="1">
      <c r="A453" s="29"/>
      <c r="B453" s="113"/>
      <c r="C453" s="30"/>
      <c r="D453" s="204"/>
      <c r="E453" s="137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125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</row>
    <row r="454" spans="1:44" ht="17.25" customHeight="1" hidden="1">
      <c r="A454" s="29"/>
      <c r="B454" s="113"/>
      <c r="C454" s="30"/>
      <c r="D454" s="204"/>
      <c r="E454" s="137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125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</row>
    <row r="455" spans="1:44" ht="17.25" customHeight="1" hidden="1">
      <c r="A455" s="29"/>
      <c r="B455" s="113"/>
      <c r="C455" s="30"/>
      <c r="D455" s="204"/>
      <c r="E455" s="137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125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</row>
    <row r="456" spans="1:44" ht="17.25" customHeight="1" hidden="1">
      <c r="A456" s="29"/>
      <c r="B456" s="113"/>
      <c r="C456" s="30"/>
      <c r="D456" s="204"/>
      <c r="E456" s="137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125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</row>
    <row r="457" spans="1:44" ht="17.25" customHeight="1" hidden="1">
      <c r="A457" s="29"/>
      <c r="B457" s="113"/>
      <c r="C457" s="30"/>
      <c r="D457" s="204"/>
      <c r="E457" s="137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125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</row>
    <row r="458" spans="1:44" ht="17.25" customHeight="1" hidden="1">
      <c r="A458" s="29"/>
      <c r="B458" s="113"/>
      <c r="C458" s="30"/>
      <c r="D458" s="204"/>
      <c r="E458" s="137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125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</row>
    <row r="459" spans="1:44" ht="17.25" customHeight="1" hidden="1">
      <c r="A459" s="29"/>
      <c r="B459" s="113"/>
      <c r="C459" s="30"/>
      <c r="D459" s="204"/>
      <c r="E459" s="137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125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</row>
    <row r="460" spans="1:44" ht="17.25" customHeight="1" hidden="1">
      <c r="A460" s="29"/>
      <c r="B460" s="113"/>
      <c r="C460" s="30"/>
      <c r="D460" s="204"/>
      <c r="E460" s="137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125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</row>
    <row r="461" spans="1:44" ht="17.25" customHeight="1" hidden="1">
      <c r="A461" s="29"/>
      <c r="B461" s="113"/>
      <c r="C461" s="30"/>
      <c r="D461" s="204"/>
      <c r="E461" s="137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125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</row>
    <row r="462" spans="1:44" ht="17.25" customHeight="1" hidden="1">
      <c r="A462" s="29"/>
      <c r="B462" s="113"/>
      <c r="C462" s="30"/>
      <c r="D462" s="204"/>
      <c r="E462" s="137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125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</row>
    <row r="463" spans="1:44" ht="17.25" customHeight="1" hidden="1">
      <c r="A463" s="29"/>
      <c r="B463" s="113"/>
      <c r="C463" s="30"/>
      <c r="D463" s="204"/>
      <c r="E463" s="137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125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</row>
    <row r="464" spans="1:44" ht="17.25" customHeight="1" hidden="1">
      <c r="A464" s="29"/>
      <c r="B464" s="113"/>
      <c r="C464" s="30"/>
      <c r="D464" s="204"/>
      <c r="E464" s="137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125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</row>
    <row r="465" spans="1:44" ht="17.25" customHeight="1" hidden="1">
      <c r="A465" s="29"/>
      <c r="B465" s="113"/>
      <c r="C465" s="30"/>
      <c r="D465" s="204"/>
      <c r="E465" s="137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125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</row>
    <row r="466" spans="1:44" ht="17.25" customHeight="1" hidden="1">
      <c r="A466" s="29"/>
      <c r="B466" s="113"/>
      <c r="C466" s="30"/>
      <c r="D466" s="204"/>
      <c r="E466" s="137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125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</row>
    <row r="467" spans="1:44" ht="17.25" customHeight="1" hidden="1">
      <c r="A467" s="29"/>
      <c r="B467" s="113"/>
      <c r="C467" s="30"/>
      <c r="D467" s="204"/>
      <c r="E467" s="137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125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</row>
    <row r="468" spans="1:44" ht="17.25" customHeight="1" hidden="1">
      <c r="A468" s="29"/>
      <c r="B468" s="113"/>
      <c r="C468" s="30"/>
      <c r="D468" s="204"/>
      <c r="E468" s="137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125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</row>
    <row r="469" spans="1:44" ht="17.25" customHeight="1" hidden="1">
      <c r="A469" s="29"/>
      <c r="B469" s="113"/>
      <c r="C469" s="30"/>
      <c r="D469" s="204"/>
      <c r="E469" s="137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125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</row>
    <row r="470" spans="1:44" ht="17.25" customHeight="1" hidden="1">
      <c r="A470" s="29"/>
      <c r="B470" s="113"/>
      <c r="C470" s="30"/>
      <c r="D470" s="204"/>
      <c r="E470" s="137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125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</row>
    <row r="471" spans="1:44" ht="17.25" customHeight="1" hidden="1">
      <c r="A471" s="29"/>
      <c r="B471" s="113"/>
      <c r="C471" s="30"/>
      <c r="D471" s="204"/>
      <c r="E471" s="137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125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</row>
    <row r="472" spans="1:44" ht="17.25" customHeight="1" hidden="1">
      <c r="A472" s="29"/>
      <c r="B472" s="113"/>
      <c r="C472" s="30"/>
      <c r="D472" s="204"/>
      <c r="E472" s="137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125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</row>
    <row r="473" spans="1:44" ht="17.25" customHeight="1" hidden="1">
      <c r="A473" s="29"/>
      <c r="B473" s="113"/>
      <c r="C473" s="30"/>
      <c r="D473" s="204"/>
      <c r="E473" s="137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125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</row>
    <row r="474" spans="1:44" ht="17.25" customHeight="1" hidden="1">
      <c r="A474" s="29"/>
      <c r="B474" s="113"/>
      <c r="C474" s="30"/>
      <c r="D474" s="204"/>
      <c r="E474" s="137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125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</row>
    <row r="475" spans="1:44" ht="17.25" customHeight="1" hidden="1">
      <c r="A475" s="29"/>
      <c r="B475" s="113"/>
      <c r="C475" s="30"/>
      <c r="D475" s="204"/>
      <c r="E475" s="137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125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</row>
    <row r="476" spans="1:44" ht="17.25" customHeight="1" hidden="1">
      <c r="A476" s="29"/>
      <c r="B476" s="113"/>
      <c r="C476" s="30"/>
      <c r="D476" s="204"/>
      <c r="E476" s="137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125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</row>
    <row r="477" spans="1:44" ht="17.25" customHeight="1" hidden="1">
      <c r="A477" s="29"/>
      <c r="B477" s="113"/>
      <c r="C477" s="30"/>
      <c r="D477" s="204"/>
      <c r="E477" s="137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125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</row>
    <row r="478" spans="1:44" ht="17.25" customHeight="1" hidden="1">
      <c r="A478" s="29"/>
      <c r="B478" s="113"/>
      <c r="C478" s="30"/>
      <c r="D478" s="204"/>
      <c r="E478" s="137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125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</row>
    <row r="479" spans="1:44" ht="17.25" customHeight="1" hidden="1">
      <c r="A479" s="29"/>
      <c r="B479" s="113"/>
      <c r="C479" s="30"/>
      <c r="D479" s="204"/>
      <c r="E479" s="137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125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</row>
    <row r="480" spans="1:44" ht="17.25" customHeight="1" hidden="1">
      <c r="A480" s="29"/>
      <c r="B480" s="113"/>
      <c r="C480" s="30"/>
      <c r="D480" s="204"/>
      <c r="E480" s="137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125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</row>
    <row r="481" spans="1:44" ht="17.25" customHeight="1" hidden="1">
      <c r="A481" s="29"/>
      <c r="B481" s="113"/>
      <c r="C481" s="30"/>
      <c r="D481" s="204"/>
      <c r="E481" s="137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125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</row>
    <row r="482" spans="1:44" ht="17.25" customHeight="1" hidden="1">
      <c r="A482" s="29"/>
      <c r="B482" s="113"/>
      <c r="C482" s="30"/>
      <c r="D482" s="204"/>
      <c r="E482" s="137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125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</row>
    <row r="483" spans="1:44" ht="17.25" customHeight="1" hidden="1">
      <c r="A483" s="29"/>
      <c r="B483" s="113"/>
      <c r="C483" s="30"/>
      <c r="D483" s="204"/>
      <c r="E483" s="137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125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</row>
    <row r="484" spans="1:44" ht="17.25" customHeight="1" hidden="1">
      <c r="A484" s="29"/>
      <c r="B484" s="113"/>
      <c r="C484" s="30"/>
      <c r="D484" s="204"/>
      <c r="E484" s="137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125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</row>
    <row r="485" spans="1:44" ht="17.25" customHeight="1" hidden="1">
      <c r="A485" s="29"/>
      <c r="B485" s="113"/>
      <c r="C485" s="30"/>
      <c r="D485" s="204"/>
      <c r="E485" s="137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125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</row>
    <row r="486" spans="1:44" ht="17.25" customHeight="1" hidden="1">
      <c r="A486" s="29"/>
      <c r="B486" s="113"/>
      <c r="C486" s="30"/>
      <c r="D486" s="204"/>
      <c r="E486" s="137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125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</row>
    <row r="487" spans="1:44" ht="17.25" customHeight="1" hidden="1">
      <c r="A487" s="29"/>
      <c r="B487" s="113"/>
      <c r="C487" s="30"/>
      <c r="D487" s="204"/>
      <c r="E487" s="137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125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</row>
    <row r="488" spans="1:44" ht="17.25" customHeight="1" hidden="1">
      <c r="A488" s="29"/>
      <c r="B488" s="113"/>
      <c r="C488" s="30"/>
      <c r="D488" s="204"/>
      <c r="E488" s="137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125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</row>
    <row r="489" spans="1:44" ht="17.25" customHeight="1" hidden="1">
      <c r="A489" s="29"/>
      <c r="B489" s="113"/>
      <c r="C489" s="30"/>
      <c r="D489" s="204"/>
      <c r="E489" s="137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125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</row>
    <row r="490" spans="1:44" ht="17.25" customHeight="1" hidden="1">
      <c r="A490" s="29"/>
      <c r="B490" s="113"/>
      <c r="C490" s="30"/>
      <c r="D490" s="204"/>
      <c r="E490" s="137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125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</row>
    <row r="491" spans="1:44" ht="17.25" customHeight="1" hidden="1">
      <c r="A491" s="29"/>
      <c r="B491" s="113"/>
      <c r="C491" s="30"/>
      <c r="D491" s="204"/>
      <c r="E491" s="137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125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</row>
    <row r="492" spans="1:44" ht="17.25" customHeight="1" hidden="1">
      <c r="A492" s="29"/>
      <c r="B492" s="113"/>
      <c r="C492" s="30"/>
      <c r="D492" s="204"/>
      <c r="E492" s="137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125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</row>
    <row r="493" spans="1:44" ht="17.25" customHeight="1" hidden="1">
      <c r="A493" s="29"/>
      <c r="B493" s="113"/>
      <c r="C493" s="30"/>
      <c r="D493" s="204"/>
      <c r="E493" s="137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125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</row>
    <row r="494" spans="1:44" ht="17.25" customHeight="1" hidden="1">
      <c r="A494" s="29"/>
      <c r="B494" s="113"/>
      <c r="C494" s="30"/>
      <c r="D494" s="204"/>
      <c r="E494" s="137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125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</row>
    <row r="495" spans="1:44" ht="17.25" customHeight="1" hidden="1">
      <c r="A495" s="29"/>
      <c r="B495" s="113"/>
      <c r="C495" s="30"/>
      <c r="D495" s="204"/>
      <c r="E495" s="137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125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</row>
    <row r="496" spans="1:44" ht="17.25" customHeight="1" hidden="1">
      <c r="A496" s="29"/>
      <c r="B496" s="113"/>
      <c r="C496" s="30"/>
      <c r="D496" s="204"/>
      <c r="E496" s="137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125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</row>
    <row r="497" spans="1:44" ht="17.25" customHeight="1" hidden="1">
      <c r="A497" s="29"/>
      <c r="B497" s="113"/>
      <c r="C497" s="30"/>
      <c r="D497" s="204"/>
      <c r="E497" s="137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125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</row>
    <row r="498" spans="1:44" ht="17.25" customHeight="1" hidden="1">
      <c r="A498" s="29"/>
      <c r="B498" s="113"/>
      <c r="C498" s="30"/>
      <c r="D498" s="204"/>
      <c r="E498" s="137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125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</row>
    <row r="499" spans="1:44" ht="17.25" customHeight="1" hidden="1">
      <c r="A499" s="29"/>
      <c r="B499" s="113"/>
      <c r="C499" s="30"/>
      <c r="D499" s="204"/>
      <c r="E499" s="137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125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</row>
    <row r="500" spans="1:44" ht="17.25" customHeight="1" hidden="1">
      <c r="A500" s="29"/>
      <c r="B500" s="113"/>
      <c r="C500" s="30"/>
      <c r="D500" s="204"/>
      <c r="E500" s="137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125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</row>
    <row r="501" spans="1:44" ht="17.25" customHeight="1" hidden="1">
      <c r="A501" s="29"/>
      <c r="B501" s="113"/>
      <c r="C501" s="30"/>
      <c r="D501" s="204"/>
      <c r="E501" s="137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125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</row>
    <row r="502" spans="1:44" ht="17.25" customHeight="1" hidden="1">
      <c r="A502" s="29"/>
      <c r="B502" s="113"/>
      <c r="C502" s="30"/>
      <c r="D502" s="204"/>
      <c r="E502" s="137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125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</row>
    <row r="503" spans="1:44" ht="17.25" customHeight="1" hidden="1">
      <c r="A503" s="29"/>
      <c r="B503" s="113"/>
      <c r="C503" s="30"/>
      <c r="D503" s="204"/>
      <c r="E503" s="137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125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</row>
    <row r="504" spans="1:44" ht="17.25" customHeight="1" hidden="1">
      <c r="A504" s="29"/>
      <c r="B504" s="113"/>
      <c r="C504" s="30"/>
      <c r="D504" s="204"/>
      <c r="E504" s="137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125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</row>
    <row r="505" spans="1:44" ht="17.25" customHeight="1" hidden="1">
      <c r="A505" s="29"/>
      <c r="B505" s="113"/>
      <c r="C505" s="30"/>
      <c r="D505" s="204"/>
      <c r="E505" s="137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125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</row>
    <row r="506" spans="1:44" ht="17.25" customHeight="1" hidden="1">
      <c r="A506" s="29"/>
      <c r="B506" s="113"/>
      <c r="C506" s="30"/>
      <c r="D506" s="204"/>
      <c r="E506" s="137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125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</row>
    <row r="507" spans="1:44" ht="17.25" customHeight="1" hidden="1">
      <c r="A507" s="29"/>
      <c r="B507" s="113"/>
      <c r="C507" s="30"/>
      <c r="D507" s="204"/>
      <c r="E507" s="137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125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</row>
    <row r="508" spans="1:44" ht="17.25" customHeight="1" hidden="1">
      <c r="A508" s="29"/>
      <c r="B508" s="113"/>
      <c r="C508" s="30"/>
      <c r="D508" s="204"/>
      <c r="E508" s="137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125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</row>
    <row r="509" spans="1:44" ht="17.25" customHeight="1" hidden="1">
      <c r="A509" s="29"/>
      <c r="B509" s="113"/>
      <c r="C509" s="30"/>
      <c r="D509" s="204"/>
      <c r="E509" s="137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125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</row>
    <row r="510" spans="1:44" ht="17.25" customHeight="1" hidden="1">
      <c r="A510" s="29"/>
      <c r="B510" s="113"/>
      <c r="C510" s="30"/>
      <c r="D510" s="204"/>
      <c r="E510" s="137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125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</row>
    <row r="511" spans="1:44" ht="17.25" customHeight="1" hidden="1">
      <c r="A511" s="29"/>
      <c r="B511" s="113"/>
      <c r="C511" s="30"/>
      <c r="D511" s="204"/>
      <c r="E511" s="137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125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</row>
    <row r="512" spans="1:44" ht="17.25" customHeight="1" hidden="1">
      <c r="A512" s="29"/>
      <c r="B512" s="113"/>
      <c r="C512" s="30"/>
      <c r="D512" s="204"/>
      <c r="E512" s="137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125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</row>
    <row r="513" spans="1:44" ht="17.25" customHeight="1" hidden="1">
      <c r="A513" s="29"/>
      <c r="B513" s="113"/>
      <c r="C513" s="30"/>
      <c r="D513" s="204"/>
      <c r="E513" s="137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125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</row>
    <row r="514" spans="1:44" ht="17.25" customHeight="1" hidden="1">
      <c r="A514" s="29"/>
      <c r="B514" s="113"/>
      <c r="C514" s="30"/>
      <c r="D514" s="204"/>
      <c r="E514" s="137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125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</row>
    <row r="515" spans="1:44" ht="17.25" customHeight="1" hidden="1">
      <c r="A515" s="29"/>
      <c r="B515" s="113"/>
      <c r="C515" s="30"/>
      <c r="D515" s="204"/>
      <c r="E515" s="137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125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</row>
    <row r="516" spans="1:44" ht="17.25" customHeight="1" hidden="1">
      <c r="A516" s="29"/>
      <c r="B516" s="113"/>
      <c r="C516" s="30"/>
      <c r="D516" s="204"/>
      <c r="E516" s="137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125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</row>
    <row r="517" spans="1:44" ht="17.25" customHeight="1" hidden="1">
      <c r="A517" s="29"/>
      <c r="B517" s="113"/>
      <c r="C517" s="30"/>
      <c r="D517" s="204"/>
      <c r="E517" s="137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125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</row>
    <row r="518" spans="1:44" ht="17.25" customHeight="1" hidden="1">
      <c r="A518" s="29"/>
      <c r="B518" s="113"/>
      <c r="C518" s="30"/>
      <c r="D518" s="204"/>
      <c r="E518" s="137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125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</row>
    <row r="519" spans="1:44" ht="17.25" customHeight="1" hidden="1">
      <c r="A519" s="29"/>
      <c r="B519" s="113"/>
      <c r="C519" s="30"/>
      <c r="D519" s="204"/>
      <c r="E519" s="137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125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</row>
    <row r="520" spans="1:44" ht="12" customHeight="1" hidden="1">
      <c r="A520" s="29"/>
      <c r="B520" s="29"/>
      <c r="C520" s="30"/>
      <c r="D520" s="35"/>
      <c r="E520" s="137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125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</row>
    <row r="521" spans="1:45" s="34" customFormat="1" ht="14.25">
      <c r="A521" s="33"/>
      <c r="B521" s="94"/>
      <c r="C521" s="264" t="s">
        <v>56</v>
      </c>
      <c r="D521" s="265"/>
      <c r="E521" s="126">
        <f aca="true" t="shared" si="1" ref="E521:AR521">SUM(E69:E520)</f>
        <v>153334050</v>
      </c>
      <c r="F521" s="126">
        <f t="shared" si="1"/>
        <v>0</v>
      </c>
      <c r="G521" s="126">
        <f t="shared" si="1"/>
        <v>0</v>
      </c>
      <c r="H521" s="126">
        <f t="shared" si="1"/>
        <v>0</v>
      </c>
      <c r="I521" s="126">
        <f t="shared" si="1"/>
        <v>0</v>
      </c>
      <c r="J521" s="126">
        <f t="shared" si="1"/>
        <v>15000000</v>
      </c>
      <c r="K521" s="126">
        <f t="shared" si="1"/>
        <v>0</v>
      </c>
      <c r="L521" s="126">
        <f t="shared" si="1"/>
        <v>0</v>
      </c>
      <c r="M521" s="126">
        <f t="shared" si="1"/>
        <v>0</v>
      </c>
      <c r="N521" s="126">
        <f t="shared" si="1"/>
        <v>20000000</v>
      </c>
      <c r="O521" s="126">
        <f t="shared" si="1"/>
        <v>0</v>
      </c>
      <c r="P521" s="126">
        <f t="shared" si="1"/>
        <v>82828900</v>
      </c>
      <c r="Q521" s="126">
        <f t="shared" si="1"/>
        <v>35000000</v>
      </c>
      <c r="R521" s="126">
        <f t="shared" si="1"/>
        <v>0</v>
      </c>
      <c r="S521" s="126">
        <f t="shared" si="1"/>
        <v>0</v>
      </c>
      <c r="T521" s="126">
        <f t="shared" si="1"/>
        <v>0</v>
      </c>
      <c r="U521" s="126">
        <f t="shared" si="1"/>
        <v>0</v>
      </c>
      <c r="V521" s="126">
        <f t="shared" si="1"/>
        <v>0</v>
      </c>
      <c r="W521" s="126">
        <f t="shared" si="1"/>
        <v>0</v>
      </c>
      <c r="X521" s="126">
        <f t="shared" si="1"/>
        <v>0</v>
      </c>
      <c r="Y521" s="126">
        <f t="shared" si="1"/>
        <v>0</v>
      </c>
      <c r="Z521" s="126">
        <f t="shared" si="1"/>
        <v>10000000</v>
      </c>
      <c r="AA521" s="126">
        <f t="shared" si="1"/>
        <v>0</v>
      </c>
      <c r="AB521" s="126">
        <f t="shared" si="1"/>
        <v>0</v>
      </c>
      <c r="AC521" s="126">
        <f t="shared" si="1"/>
        <v>10000000</v>
      </c>
      <c r="AD521" s="126">
        <f t="shared" si="1"/>
        <v>236162950</v>
      </c>
      <c r="AE521" s="126">
        <f t="shared" si="1"/>
        <v>13869.86</v>
      </c>
      <c r="AF521" s="126">
        <f t="shared" si="1"/>
        <v>337500</v>
      </c>
      <c r="AG521" s="126">
        <f t="shared" si="1"/>
        <v>337500</v>
      </c>
      <c r="AH521" s="126">
        <f t="shared" si="1"/>
        <v>1342377.0500000003</v>
      </c>
      <c r="AI521" s="126">
        <f t="shared" si="1"/>
        <v>2744753.42</v>
      </c>
      <c r="AJ521" s="126">
        <f t="shared" si="1"/>
        <v>2057159.69</v>
      </c>
      <c r="AK521" s="126">
        <f t="shared" si="1"/>
        <v>693506.4200000002</v>
      </c>
      <c r="AL521" s="126">
        <f t="shared" si="1"/>
        <v>108773.79999999999</v>
      </c>
      <c r="AM521" s="126">
        <f t="shared" si="1"/>
        <v>107416.96999999999</v>
      </c>
      <c r="AN521" s="126">
        <f t="shared" si="1"/>
        <v>103947.06999999998</v>
      </c>
      <c r="AO521" s="126">
        <f t="shared" si="1"/>
        <v>100139.17999999993</v>
      </c>
      <c r="AP521" s="126">
        <f t="shared" si="1"/>
        <v>85890.26999999999</v>
      </c>
      <c r="AQ521" s="126">
        <f t="shared" si="1"/>
        <v>116408.9</v>
      </c>
      <c r="AR521" s="126">
        <f t="shared" si="1"/>
        <v>214996.61000000002</v>
      </c>
      <c r="AS521" s="154"/>
    </row>
    <row r="522" spans="1:45" s="54" customFormat="1" ht="4.5" customHeight="1" thickBot="1">
      <c r="A522" s="51"/>
      <c r="B522" s="51"/>
      <c r="C522" s="52"/>
      <c r="D522" s="53"/>
      <c r="E522" s="138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129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55"/>
    </row>
    <row r="523" spans="1:45" s="43" customFormat="1" ht="15.75" thickBot="1">
      <c r="A523" s="44">
        <v>3</v>
      </c>
      <c r="B523" s="111"/>
      <c r="C523" s="45" t="s">
        <v>106</v>
      </c>
      <c r="D523" s="45"/>
      <c r="E523" s="139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130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97"/>
      <c r="AO523" s="197"/>
      <c r="AP523" s="197"/>
      <c r="AQ523" s="197"/>
      <c r="AR523" s="197"/>
      <c r="AS523" s="156"/>
    </row>
    <row r="524" spans="1:44" ht="25.5" customHeight="1" hidden="1">
      <c r="A524" s="231" t="s">
        <v>34</v>
      </c>
      <c r="B524" s="234" t="s">
        <v>117</v>
      </c>
      <c r="C524" s="23" t="s">
        <v>40</v>
      </c>
      <c r="D524" s="19" t="s">
        <v>78</v>
      </c>
      <c r="E524" s="237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  <c r="AA524" s="225"/>
      <c r="AB524" s="225"/>
      <c r="AC524" s="225"/>
      <c r="AD524" s="255">
        <f>E524+F524+H524+J524+L524+N524+P524+R524+T524+V524+X524+Z524+AB524-G524-I524-K524-M524-O524-Q524-S524-U524-W524-Y524-AA524-AC524</f>
        <v>0</v>
      </c>
      <c r="AE524" s="240">
        <v>1769903.03</v>
      </c>
      <c r="AF524" s="240">
        <f>827043.29+160190.13+147170.96+124387.4+108981.37+99162.75</f>
        <v>1466935.9</v>
      </c>
      <c r="AG524" s="240"/>
      <c r="AH524" s="240"/>
      <c r="AI524" s="240"/>
      <c r="AJ524" s="240"/>
      <c r="AK524" s="240"/>
      <c r="AL524" s="240"/>
      <c r="AM524" s="240"/>
      <c r="AN524" s="167"/>
      <c r="AO524" s="167"/>
      <c r="AP524" s="167"/>
      <c r="AQ524" s="167"/>
      <c r="AR524" s="167"/>
    </row>
    <row r="525" spans="1:44" ht="12.75" customHeight="1" hidden="1">
      <c r="A525" s="232"/>
      <c r="B525" s="235"/>
      <c r="C525" s="24" t="s">
        <v>0</v>
      </c>
      <c r="D525" s="16" t="s">
        <v>79</v>
      </c>
      <c r="E525" s="238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56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167"/>
      <c r="AO525" s="167"/>
      <c r="AP525" s="167"/>
      <c r="AQ525" s="167"/>
      <c r="AR525" s="167"/>
    </row>
    <row r="526" spans="1:44" ht="12.75" customHeight="1" hidden="1">
      <c r="A526" s="232"/>
      <c r="B526" s="235"/>
      <c r="C526" s="25" t="s">
        <v>36</v>
      </c>
      <c r="D526" s="20" t="s">
        <v>42</v>
      </c>
      <c r="E526" s="238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56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167"/>
      <c r="AO526" s="167"/>
      <c r="AP526" s="167"/>
      <c r="AQ526" s="167"/>
      <c r="AR526" s="167"/>
    </row>
    <row r="527" spans="1:44" ht="12.75" customHeight="1" hidden="1">
      <c r="A527" s="232"/>
      <c r="B527" s="235"/>
      <c r="C527" s="24" t="s">
        <v>37</v>
      </c>
      <c r="D527" s="85" t="s">
        <v>80</v>
      </c>
      <c r="E527" s="238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56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167"/>
      <c r="AO527" s="167"/>
      <c r="AP527" s="167"/>
      <c r="AQ527" s="167"/>
      <c r="AR527" s="167"/>
    </row>
    <row r="528" spans="1:44" ht="12.75" customHeight="1" hidden="1">
      <c r="A528" s="232"/>
      <c r="B528" s="235"/>
      <c r="C528" s="24" t="s">
        <v>38</v>
      </c>
      <c r="D528" s="21">
        <v>20000000</v>
      </c>
      <c r="E528" s="238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56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167"/>
      <c r="AO528" s="167"/>
      <c r="AP528" s="167"/>
      <c r="AQ528" s="167"/>
      <c r="AR528" s="167"/>
    </row>
    <row r="529" spans="1:44" ht="12.75" customHeight="1" hidden="1">
      <c r="A529" s="232"/>
      <c r="B529" s="235"/>
      <c r="C529" s="25" t="s">
        <v>39</v>
      </c>
      <c r="D529" s="27">
        <v>40512</v>
      </c>
      <c r="E529" s="238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56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167"/>
      <c r="AO529" s="167"/>
      <c r="AP529" s="167"/>
      <c r="AQ529" s="167"/>
      <c r="AR529" s="167"/>
    </row>
    <row r="530" spans="1:44" ht="12.75" customHeight="1" hidden="1">
      <c r="A530" s="232"/>
      <c r="B530" s="235"/>
      <c r="C530" s="24" t="s">
        <v>1</v>
      </c>
      <c r="D530" s="87">
        <v>0.198</v>
      </c>
      <c r="E530" s="238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56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167"/>
      <c r="AO530" s="167"/>
      <c r="AP530" s="167"/>
      <c r="AQ530" s="167"/>
      <c r="AR530" s="167"/>
    </row>
    <row r="531" spans="1:44" ht="14.25" customHeight="1" hidden="1" thickBot="1">
      <c r="A531" s="233"/>
      <c r="B531" s="236"/>
      <c r="C531" s="26" t="s">
        <v>41</v>
      </c>
      <c r="D531" s="28"/>
      <c r="E531" s="239"/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57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167"/>
      <c r="AO531" s="167"/>
      <c r="AP531" s="167"/>
      <c r="AQ531" s="167"/>
      <c r="AR531" s="167"/>
    </row>
    <row r="532" spans="1:44" ht="29.25" customHeight="1" hidden="1">
      <c r="A532" s="231" t="s">
        <v>45</v>
      </c>
      <c r="B532" s="234" t="s">
        <v>119</v>
      </c>
      <c r="C532" s="23" t="s">
        <v>40</v>
      </c>
      <c r="D532" s="19" t="s">
        <v>81</v>
      </c>
      <c r="E532" s="237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  <c r="AA532" s="225"/>
      <c r="AB532" s="225"/>
      <c r="AC532" s="225"/>
      <c r="AD532" s="255">
        <f>E532+F532+H532+J532+L532+N532+P532+R532+T532+V532+X532+Z532+AB532-G532-I532-K532-M532-O532-Q532-S532-U532-W532-Y532-AA532-AC532</f>
        <v>0</v>
      </c>
      <c r="AE532" s="240">
        <v>617619.87</v>
      </c>
      <c r="AF532" s="240">
        <f>443013.7+64982.88+51421.23+27328.77+14383.56</f>
        <v>601130.1400000001</v>
      </c>
      <c r="AG532" s="240"/>
      <c r="AH532" s="240"/>
      <c r="AI532" s="240"/>
      <c r="AJ532" s="240"/>
      <c r="AK532" s="240"/>
      <c r="AL532" s="240"/>
      <c r="AM532" s="240"/>
      <c r="AN532" s="167"/>
      <c r="AO532" s="167"/>
      <c r="AP532" s="167"/>
      <c r="AQ532" s="167"/>
      <c r="AR532" s="167"/>
    </row>
    <row r="533" spans="1:44" ht="14.25" customHeight="1" hidden="1">
      <c r="A533" s="232"/>
      <c r="B533" s="235"/>
      <c r="C533" s="24" t="s">
        <v>0</v>
      </c>
      <c r="D533" s="83" t="s">
        <v>82</v>
      </c>
      <c r="E533" s="238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  <c r="AA533" s="226"/>
      <c r="AB533" s="226"/>
      <c r="AC533" s="226"/>
      <c r="AD533" s="256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167"/>
      <c r="AO533" s="167"/>
      <c r="AP533" s="167"/>
      <c r="AQ533" s="167"/>
      <c r="AR533" s="167"/>
    </row>
    <row r="534" spans="1:44" ht="14.25" customHeight="1" hidden="1">
      <c r="A534" s="232"/>
      <c r="B534" s="235"/>
      <c r="C534" s="25" t="s">
        <v>36</v>
      </c>
      <c r="D534" s="20" t="s">
        <v>42</v>
      </c>
      <c r="E534" s="238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  <c r="AA534" s="226"/>
      <c r="AB534" s="226"/>
      <c r="AC534" s="226"/>
      <c r="AD534" s="256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167"/>
      <c r="AO534" s="167"/>
      <c r="AP534" s="167"/>
      <c r="AQ534" s="167"/>
      <c r="AR534" s="167"/>
    </row>
    <row r="535" spans="1:44" ht="14.25" customHeight="1" hidden="1">
      <c r="A535" s="232"/>
      <c r="B535" s="235"/>
      <c r="C535" s="24" t="s">
        <v>37</v>
      </c>
      <c r="D535" s="85"/>
      <c r="E535" s="238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56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167"/>
      <c r="AO535" s="167"/>
      <c r="AP535" s="167"/>
      <c r="AQ535" s="167"/>
      <c r="AR535" s="167"/>
    </row>
    <row r="536" spans="1:44" ht="14.25" customHeight="1" hidden="1">
      <c r="A536" s="232"/>
      <c r="B536" s="235"/>
      <c r="C536" s="24" t="s">
        <v>38</v>
      </c>
      <c r="D536" s="21">
        <v>15000000</v>
      </c>
      <c r="E536" s="238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56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167"/>
      <c r="AO536" s="167"/>
      <c r="AP536" s="167"/>
      <c r="AQ536" s="167"/>
      <c r="AR536" s="167"/>
    </row>
    <row r="537" spans="1:44" ht="14.25" customHeight="1" hidden="1">
      <c r="A537" s="232"/>
      <c r="B537" s="235"/>
      <c r="C537" s="25" t="s">
        <v>39</v>
      </c>
      <c r="D537" s="27">
        <v>40415</v>
      </c>
      <c r="E537" s="238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56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167"/>
      <c r="AO537" s="167"/>
      <c r="AP537" s="167"/>
      <c r="AQ537" s="167"/>
      <c r="AR537" s="167"/>
    </row>
    <row r="538" spans="1:44" ht="14.25" customHeight="1" hidden="1">
      <c r="A538" s="232"/>
      <c r="B538" s="235"/>
      <c r="C538" s="24" t="s">
        <v>1</v>
      </c>
      <c r="D538" s="87">
        <v>0.165</v>
      </c>
      <c r="E538" s="238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56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167"/>
      <c r="AO538" s="167"/>
      <c r="AP538" s="167"/>
      <c r="AQ538" s="167"/>
      <c r="AR538" s="167"/>
    </row>
    <row r="539" spans="1:44" ht="14.25" customHeight="1" hidden="1" thickBot="1">
      <c r="A539" s="233"/>
      <c r="B539" s="236"/>
      <c r="C539" s="26" t="s">
        <v>41</v>
      </c>
      <c r="D539" s="28"/>
      <c r="E539" s="239"/>
      <c r="F539" s="227"/>
      <c r="G539" s="227"/>
      <c r="H539" s="227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  <c r="AA539" s="227"/>
      <c r="AB539" s="227"/>
      <c r="AC539" s="227"/>
      <c r="AD539" s="257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167"/>
      <c r="AO539" s="167"/>
      <c r="AP539" s="167"/>
      <c r="AQ539" s="167"/>
      <c r="AR539" s="167"/>
    </row>
    <row r="540" spans="1:44" ht="26.25" customHeight="1" hidden="1">
      <c r="A540" s="231" t="s">
        <v>46</v>
      </c>
      <c r="B540" s="234" t="s">
        <v>118</v>
      </c>
      <c r="C540" s="23" t="s">
        <v>40</v>
      </c>
      <c r="D540" s="86" t="s">
        <v>85</v>
      </c>
      <c r="E540" s="250">
        <v>0</v>
      </c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  <c r="AA540" s="225"/>
      <c r="AB540" s="225"/>
      <c r="AC540" s="225"/>
      <c r="AD540" s="255">
        <f>E540+F540+H540+J540+L540+N540+P540+R540+T540+V540+X540+Z540+AB540-G540-I540-K540-M540-O540-Q540-S540-U540-W540-Y540-AA540-AC540</f>
        <v>0</v>
      </c>
      <c r="AE540" s="260">
        <v>0</v>
      </c>
      <c r="AF540" s="261">
        <f>593727.59+222109.26+204211.59+167839.7+146433+121126.9+99236.39+74980.47+51601.36</f>
        <v>1681266.2599999998</v>
      </c>
      <c r="AG540" s="260">
        <f>30330.46+5811.74</f>
        <v>36142.2</v>
      </c>
      <c r="AH540" s="260"/>
      <c r="AI540" s="260"/>
      <c r="AJ540" s="260"/>
      <c r="AK540" s="260"/>
      <c r="AL540" s="260"/>
      <c r="AM540" s="260"/>
      <c r="AN540" s="198"/>
      <c r="AO540" s="198"/>
      <c r="AP540" s="198"/>
      <c r="AQ540" s="198"/>
      <c r="AR540" s="198"/>
    </row>
    <row r="541" spans="1:44" ht="14.25" customHeight="1" hidden="1">
      <c r="A541" s="232"/>
      <c r="B541" s="235"/>
      <c r="C541" s="24" t="s">
        <v>0</v>
      </c>
      <c r="D541" s="16" t="s">
        <v>86</v>
      </c>
      <c r="E541" s="251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56"/>
      <c r="AE541" s="260"/>
      <c r="AF541" s="262"/>
      <c r="AG541" s="260"/>
      <c r="AH541" s="260"/>
      <c r="AI541" s="260"/>
      <c r="AJ541" s="260"/>
      <c r="AK541" s="260"/>
      <c r="AL541" s="260"/>
      <c r="AM541" s="260"/>
      <c r="AN541" s="198"/>
      <c r="AO541" s="198"/>
      <c r="AP541" s="198"/>
      <c r="AQ541" s="198"/>
      <c r="AR541" s="198"/>
    </row>
    <row r="542" spans="1:44" ht="14.25" customHeight="1" hidden="1">
      <c r="A542" s="232"/>
      <c r="B542" s="235"/>
      <c r="C542" s="25" t="s">
        <v>36</v>
      </c>
      <c r="D542" s="20" t="s">
        <v>87</v>
      </c>
      <c r="E542" s="251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56"/>
      <c r="AE542" s="260"/>
      <c r="AF542" s="262"/>
      <c r="AG542" s="260"/>
      <c r="AH542" s="260"/>
      <c r="AI542" s="260"/>
      <c r="AJ542" s="260"/>
      <c r="AK542" s="260"/>
      <c r="AL542" s="260"/>
      <c r="AM542" s="260"/>
      <c r="AN542" s="198"/>
      <c r="AO542" s="198"/>
      <c r="AP542" s="198"/>
      <c r="AQ542" s="198"/>
      <c r="AR542" s="198"/>
    </row>
    <row r="543" spans="1:44" ht="14.25" customHeight="1" hidden="1">
      <c r="A543" s="232"/>
      <c r="B543" s="235"/>
      <c r="C543" s="24" t="s">
        <v>37</v>
      </c>
      <c r="D543" s="17"/>
      <c r="E543" s="251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56"/>
      <c r="AE543" s="260"/>
      <c r="AF543" s="262"/>
      <c r="AG543" s="260"/>
      <c r="AH543" s="260"/>
      <c r="AI543" s="260"/>
      <c r="AJ543" s="260"/>
      <c r="AK543" s="260"/>
      <c r="AL543" s="260"/>
      <c r="AM543" s="260"/>
      <c r="AN543" s="198"/>
      <c r="AO543" s="198"/>
      <c r="AP543" s="198"/>
      <c r="AQ543" s="198"/>
      <c r="AR543" s="198"/>
    </row>
    <row r="544" spans="1:44" ht="14.25" customHeight="1" hidden="1">
      <c r="A544" s="232"/>
      <c r="B544" s="235"/>
      <c r="C544" s="24" t="s">
        <v>38</v>
      </c>
      <c r="D544" s="21">
        <v>20000000</v>
      </c>
      <c r="E544" s="251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56"/>
      <c r="AE544" s="260"/>
      <c r="AF544" s="262"/>
      <c r="AG544" s="260"/>
      <c r="AH544" s="260"/>
      <c r="AI544" s="260"/>
      <c r="AJ544" s="260"/>
      <c r="AK544" s="260"/>
      <c r="AL544" s="260"/>
      <c r="AM544" s="260"/>
      <c r="AN544" s="198"/>
      <c r="AO544" s="198"/>
      <c r="AP544" s="198"/>
      <c r="AQ544" s="198"/>
      <c r="AR544" s="198"/>
    </row>
    <row r="545" spans="1:44" ht="14.25" customHeight="1" hidden="1">
      <c r="A545" s="232"/>
      <c r="B545" s="235"/>
      <c r="C545" s="25" t="s">
        <v>39</v>
      </c>
      <c r="D545" s="27">
        <v>40219</v>
      </c>
      <c r="E545" s="251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56"/>
      <c r="AE545" s="260"/>
      <c r="AF545" s="262"/>
      <c r="AG545" s="260"/>
      <c r="AH545" s="260"/>
      <c r="AI545" s="260"/>
      <c r="AJ545" s="260"/>
      <c r="AK545" s="260"/>
      <c r="AL545" s="260"/>
      <c r="AM545" s="260"/>
      <c r="AN545" s="198"/>
      <c r="AO545" s="198"/>
      <c r="AP545" s="198"/>
      <c r="AQ545" s="198"/>
      <c r="AR545" s="198"/>
    </row>
    <row r="546" spans="1:44" ht="14.25" customHeight="1" hidden="1">
      <c r="A546" s="232"/>
      <c r="B546" s="235"/>
      <c r="C546" s="24" t="s">
        <v>1</v>
      </c>
      <c r="D546" s="87">
        <v>0.165</v>
      </c>
      <c r="E546" s="251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56"/>
      <c r="AE546" s="260"/>
      <c r="AF546" s="262"/>
      <c r="AG546" s="260"/>
      <c r="AH546" s="260"/>
      <c r="AI546" s="260"/>
      <c r="AJ546" s="260"/>
      <c r="AK546" s="260"/>
      <c r="AL546" s="260"/>
      <c r="AM546" s="260"/>
      <c r="AN546" s="198"/>
      <c r="AO546" s="198"/>
      <c r="AP546" s="198"/>
      <c r="AQ546" s="198"/>
      <c r="AR546" s="198"/>
    </row>
    <row r="547" spans="1:44" ht="14.25" customHeight="1" hidden="1" thickBot="1">
      <c r="A547" s="233"/>
      <c r="B547" s="236"/>
      <c r="C547" s="26" t="s">
        <v>41</v>
      </c>
      <c r="D547" s="28"/>
      <c r="E547" s="252"/>
      <c r="F547" s="227"/>
      <c r="G547" s="227"/>
      <c r="H547" s="227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  <c r="AA547" s="227"/>
      <c r="AB547" s="227"/>
      <c r="AC547" s="227"/>
      <c r="AD547" s="257"/>
      <c r="AE547" s="260"/>
      <c r="AF547" s="263"/>
      <c r="AG547" s="260"/>
      <c r="AH547" s="260"/>
      <c r="AI547" s="260"/>
      <c r="AJ547" s="260"/>
      <c r="AK547" s="260"/>
      <c r="AL547" s="260"/>
      <c r="AM547" s="260"/>
      <c r="AN547" s="198"/>
      <c r="AO547" s="198"/>
      <c r="AP547" s="198"/>
      <c r="AQ547" s="198"/>
      <c r="AR547" s="198"/>
    </row>
    <row r="548" spans="1:44" ht="27" customHeight="1" hidden="1">
      <c r="A548" s="231" t="s">
        <v>47</v>
      </c>
      <c r="B548" s="234" t="s">
        <v>120</v>
      </c>
      <c r="C548" s="23" t="s">
        <v>40</v>
      </c>
      <c r="D548" s="19" t="s">
        <v>89</v>
      </c>
      <c r="E548" s="250">
        <v>0</v>
      </c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  <c r="AA548" s="225"/>
      <c r="AB548" s="225"/>
      <c r="AC548" s="225"/>
      <c r="AD548" s="255">
        <f>E548+F548+H548+J548+L548+N548+P548+R548+T548+V548+X548+Z548+AB548-G548-I548-K548-M548-O548-Q548-S548-U548-W548-Y548-AA548-AC548</f>
        <v>0</v>
      </c>
      <c r="AE548" s="260">
        <v>0</v>
      </c>
      <c r="AF548" s="240">
        <f>86794.52+149178.08+136068.49+121602.74</f>
        <v>493643.82999999996</v>
      </c>
      <c r="AG548" s="240">
        <f>111657.53+28.9+96739.73+75493.15+68712.33+53342.47+41589.04+25767.12+12657.53</f>
        <v>485987.8</v>
      </c>
      <c r="AH548" s="240"/>
      <c r="AI548" s="240"/>
      <c r="AJ548" s="240"/>
      <c r="AK548" s="240"/>
      <c r="AL548" s="240"/>
      <c r="AM548" s="240"/>
      <c r="AN548" s="167"/>
      <c r="AO548" s="167"/>
      <c r="AP548" s="167"/>
      <c r="AQ548" s="167"/>
      <c r="AR548" s="167"/>
    </row>
    <row r="549" spans="1:44" ht="14.25" customHeight="1" hidden="1">
      <c r="A549" s="232"/>
      <c r="B549" s="235"/>
      <c r="C549" s="24" t="s">
        <v>0</v>
      </c>
      <c r="D549" s="83" t="s">
        <v>82</v>
      </c>
      <c r="E549" s="251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56"/>
      <c r="AE549" s="260"/>
      <c r="AF549" s="240"/>
      <c r="AG549" s="240"/>
      <c r="AH549" s="240"/>
      <c r="AI549" s="240"/>
      <c r="AJ549" s="240"/>
      <c r="AK549" s="240"/>
      <c r="AL549" s="240"/>
      <c r="AM549" s="240"/>
      <c r="AN549" s="167"/>
      <c r="AO549" s="167"/>
      <c r="AP549" s="167"/>
      <c r="AQ549" s="167"/>
      <c r="AR549" s="167"/>
    </row>
    <row r="550" spans="1:44" ht="14.25" customHeight="1" hidden="1">
      <c r="A550" s="232"/>
      <c r="B550" s="235"/>
      <c r="C550" s="25" t="s">
        <v>36</v>
      </c>
      <c r="D550" s="20" t="s">
        <v>42</v>
      </c>
      <c r="E550" s="251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56"/>
      <c r="AE550" s="260"/>
      <c r="AF550" s="240"/>
      <c r="AG550" s="240"/>
      <c r="AH550" s="240"/>
      <c r="AI550" s="240"/>
      <c r="AJ550" s="240"/>
      <c r="AK550" s="240"/>
      <c r="AL550" s="240"/>
      <c r="AM550" s="240"/>
      <c r="AN550" s="167"/>
      <c r="AO550" s="167"/>
      <c r="AP550" s="167"/>
      <c r="AQ550" s="167"/>
      <c r="AR550" s="167"/>
    </row>
    <row r="551" spans="1:44" ht="14.25" customHeight="1" hidden="1">
      <c r="A551" s="232"/>
      <c r="B551" s="235"/>
      <c r="C551" s="24" t="s">
        <v>37</v>
      </c>
      <c r="D551" s="85"/>
      <c r="E551" s="251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56"/>
      <c r="AE551" s="260"/>
      <c r="AF551" s="240"/>
      <c r="AG551" s="240"/>
      <c r="AH551" s="240"/>
      <c r="AI551" s="240"/>
      <c r="AJ551" s="240"/>
      <c r="AK551" s="240"/>
      <c r="AL551" s="240"/>
      <c r="AM551" s="240"/>
      <c r="AN551" s="167"/>
      <c r="AO551" s="167"/>
      <c r="AP551" s="167"/>
      <c r="AQ551" s="167"/>
      <c r="AR551" s="167"/>
    </row>
    <row r="552" spans="1:44" ht="14.25" customHeight="1" hidden="1">
      <c r="A552" s="232"/>
      <c r="B552" s="235"/>
      <c r="C552" s="24" t="s">
        <v>38</v>
      </c>
      <c r="D552" s="21">
        <v>18000000</v>
      </c>
      <c r="E552" s="251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56"/>
      <c r="AE552" s="260"/>
      <c r="AF552" s="240"/>
      <c r="AG552" s="240"/>
      <c r="AH552" s="240"/>
      <c r="AI552" s="240"/>
      <c r="AJ552" s="240"/>
      <c r="AK552" s="240"/>
      <c r="AL552" s="240"/>
      <c r="AM552" s="240"/>
      <c r="AN552" s="167"/>
      <c r="AO552" s="167"/>
      <c r="AP552" s="167"/>
      <c r="AQ552" s="167"/>
      <c r="AR552" s="167"/>
    </row>
    <row r="553" spans="1:44" ht="14.25" customHeight="1" hidden="1">
      <c r="A553" s="232"/>
      <c r="B553" s="235"/>
      <c r="C553" s="25" t="s">
        <v>39</v>
      </c>
      <c r="D553" s="27">
        <v>40780</v>
      </c>
      <c r="E553" s="251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  <c r="AA553" s="226"/>
      <c r="AB553" s="226"/>
      <c r="AC553" s="226"/>
      <c r="AD553" s="256"/>
      <c r="AE553" s="260"/>
      <c r="AF553" s="240"/>
      <c r="AG553" s="240"/>
      <c r="AH553" s="240"/>
      <c r="AI553" s="240"/>
      <c r="AJ553" s="240"/>
      <c r="AK553" s="240"/>
      <c r="AL553" s="240"/>
      <c r="AM553" s="240"/>
      <c r="AN553" s="167"/>
      <c r="AO553" s="167"/>
      <c r="AP553" s="167"/>
      <c r="AQ553" s="167"/>
      <c r="AR553" s="167"/>
    </row>
    <row r="554" spans="1:44" ht="14.25" customHeight="1" hidden="1">
      <c r="A554" s="232"/>
      <c r="B554" s="235"/>
      <c r="C554" s="24" t="s">
        <v>1</v>
      </c>
      <c r="D554" s="87">
        <v>0.11</v>
      </c>
      <c r="E554" s="251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56"/>
      <c r="AE554" s="260"/>
      <c r="AF554" s="240"/>
      <c r="AG554" s="240"/>
      <c r="AH554" s="240"/>
      <c r="AI554" s="240"/>
      <c r="AJ554" s="240"/>
      <c r="AK554" s="240"/>
      <c r="AL554" s="240"/>
      <c r="AM554" s="240"/>
      <c r="AN554" s="167"/>
      <c r="AO554" s="167"/>
      <c r="AP554" s="167"/>
      <c r="AQ554" s="167"/>
      <c r="AR554" s="167"/>
    </row>
    <row r="555" spans="1:44" ht="14.25" customHeight="1" hidden="1" thickBot="1">
      <c r="A555" s="233"/>
      <c r="B555" s="236"/>
      <c r="C555" s="26" t="s">
        <v>41</v>
      </c>
      <c r="D555" s="28"/>
      <c r="E555" s="252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  <c r="AA555" s="227"/>
      <c r="AB555" s="227"/>
      <c r="AC555" s="227"/>
      <c r="AD555" s="257"/>
      <c r="AE555" s="260"/>
      <c r="AF555" s="240"/>
      <c r="AG555" s="240"/>
      <c r="AH555" s="240"/>
      <c r="AI555" s="240"/>
      <c r="AJ555" s="240"/>
      <c r="AK555" s="240"/>
      <c r="AL555" s="240"/>
      <c r="AM555" s="240"/>
      <c r="AN555" s="167"/>
      <c r="AO555" s="167"/>
      <c r="AP555" s="167"/>
      <c r="AQ555" s="167"/>
      <c r="AR555" s="167"/>
    </row>
    <row r="556" spans="1:44" ht="27.75" customHeight="1" hidden="1">
      <c r="A556" s="231" t="s">
        <v>50</v>
      </c>
      <c r="B556" s="234" t="s">
        <v>117</v>
      </c>
      <c r="C556" s="23" t="s">
        <v>40</v>
      </c>
      <c r="D556" s="86" t="s">
        <v>114</v>
      </c>
      <c r="E556" s="250">
        <v>0</v>
      </c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  <c r="AA556" s="225"/>
      <c r="AB556" s="225"/>
      <c r="AC556" s="225"/>
      <c r="AD556" s="255">
        <f>E556+F556+H556+J556+L556+N556+P556+R556+T556+V556+X556+Z556+AB556-G556-I556-K556-M556-O556-Q556-S556-U556-W556-Y556-AA556-AC556</f>
        <v>0</v>
      </c>
      <c r="AE556" s="240"/>
      <c r="AF556" s="240">
        <v>139602.74</v>
      </c>
      <c r="AG556" s="240">
        <f>199147.32+181424.66+146082.19+144904.11+121931.51+107205.48+87767.12+71273.97+52424.66+34058.59+16620.42+4825.28</f>
        <v>1167665.3099999998</v>
      </c>
      <c r="AH556" s="240"/>
      <c r="AI556" s="240"/>
      <c r="AJ556" s="240"/>
      <c r="AK556" s="240"/>
      <c r="AL556" s="240"/>
      <c r="AM556" s="240"/>
      <c r="AN556" s="167"/>
      <c r="AO556" s="167"/>
      <c r="AP556" s="167"/>
      <c r="AQ556" s="167"/>
      <c r="AR556" s="167"/>
    </row>
    <row r="557" spans="1:44" ht="14.25" customHeight="1" hidden="1">
      <c r="A557" s="232"/>
      <c r="B557" s="235"/>
      <c r="C557" s="24" t="s">
        <v>0</v>
      </c>
      <c r="D557" s="16" t="s">
        <v>86</v>
      </c>
      <c r="E557" s="251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56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167"/>
      <c r="AO557" s="167"/>
      <c r="AP557" s="167"/>
      <c r="AQ557" s="167"/>
      <c r="AR557" s="167"/>
    </row>
    <row r="558" spans="1:44" ht="14.25" customHeight="1" hidden="1">
      <c r="A558" s="232"/>
      <c r="B558" s="235"/>
      <c r="C558" s="25" t="s">
        <v>36</v>
      </c>
      <c r="D558" s="20" t="s">
        <v>87</v>
      </c>
      <c r="E558" s="251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56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167"/>
      <c r="AO558" s="167"/>
      <c r="AP558" s="167"/>
      <c r="AQ558" s="167"/>
      <c r="AR558" s="167"/>
    </row>
    <row r="559" spans="1:44" ht="14.25" customHeight="1" hidden="1">
      <c r="A559" s="232"/>
      <c r="B559" s="235"/>
      <c r="C559" s="24" t="s">
        <v>37</v>
      </c>
      <c r="D559" s="17"/>
      <c r="E559" s="251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56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167"/>
      <c r="AO559" s="167"/>
      <c r="AP559" s="167"/>
      <c r="AQ559" s="167"/>
      <c r="AR559" s="167"/>
    </row>
    <row r="560" spans="1:44" ht="14.25" customHeight="1" hidden="1">
      <c r="A560" s="232"/>
      <c r="B560" s="235"/>
      <c r="C560" s="24" t="s">
        <v>38</v>
      </c>
      <c r="D560" s="21">
        <v>30000000</v>
      </c>
      <c r="E560" s="251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56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167"/>
      <c r="AO560" s="167"/>
      <c r="AP560" s="167"/>
      <c r="AQ560" s="167"/>
      <c r="AR560" s="167"/>
    </row>
    <row r="561" spans="1:44" ht="14.25" customHeight="1" hidden="1">
      <c r="A561" s="232"/>
      <c r="B561" s="235"/>
      <c r="C561" s="25" t="s">
        <v>39</v>
      </c>
      <c r="D561" s="27">
        <v>40877</v>
      </c>
      <c r="E561" s="251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56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167"/>
      <c r="AO561" s="167"/>
      <c r="AP561" s="167"/>
      <c r="AQ561" s="167"/>
      <c r="AR561" s="167"/>
    </row>
    <row r="562" spans="1:44" ht="14.25" customHeight="1" hidden="1">
      <c r="A562" s="232"/>
      <c r="B562" s="235"/>
      <c r="C562" s="24" t="s">
        <v>1</v>
      </c>
      <c r="D562" s="87">
        <v>0.086</v>
      </c>
      <c r="E562" s="251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56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167"/>
      <c r="AO562" s="167"/>
      <c r="AP562" s="167"/>
      <c r="AQ562" s="167"/>
      <c r="AR562" s="167"/>
    </row>
    <row r="563" spans="1:44" ht="14.25" customHeight="1" hidden="1" thickBot="1">
      <c r="A563" s="233"/>
      <c r="B563" s="236"/>
      <c r="C563" s="26" t="s">
        <v>41</v>
      </c>
      <c r="D563" s="28"/>
      <c r="E563" s="252"/>
      <c r="F563" s="227"/>
      <c r="G563" s="227"/>
      <c r="H563" s="227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57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167"/>
      <c r="AO563" s="167"/>
      <c r="AP563" s="167"/>
      <c r="AQ563" s="167"/>
      <c r="AR563" s="167"/>
    </row>
    <row r="564" spans="1:44" ht="26.25" customHeight="1" hidden="1">
      <c r="A564" s="231" t="s">
        <v>123</v>
      </c>
      <c r="B564" s="234" t="s">
        <v>124</v>
      </c>
      <c r="C564" s="23" t="s">
        <v>40</v>
      </c>
      <c r="D564" s="19" t="s">
        <v>125</v>
      </c>
      <c r="E564" s="237">
        <v>0</v>
      </c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  <c r="AA564" s="225"/>
      <c r="AB564" s="225"/>
      <c r="AC564" s="225"/>
      <c r="AD564" s="255">
        <f>E564+F564+H564+J564+L564+N564+P564+R564+T564+V564+X564+Z564+AB564-G564-I564-K564-M564-O564-Q564-S564-U564-W564-Y564-AA564-AC564</f>
        <v>0</v>
      </c>
      <c r="AE564" s="240"/>
      <c r="AF564" s="240"/>
      <c r="AG564" s="240">
        <f>42037.97+110640.65+99999.12+87108+79713.7+66490.02+18.28</f>
        <v>486007.74000000005</v>
      </c>
      <c r="AH564" s="240">
        <f>58634.06+47990.16+35543.93+27760.16+16230.82+6847.38</f>
        <v>193006.51</v>
      </c>
      <c r="AI564" s="240"/>
      <c r="AJ564" s="240"/>
      <c r="AK564" s="240"/>
      <c r="AL564" s="240"/>
      <c r="AM564" s="240"/>
      <c r="AN564" s="167"/>
      <c r="AO564" s="167"/>
      <c r="AP564" s="167"/>
      <c r="AQ564" s="167"/>
      <c r="AR564" s="167"/>
    </row>
    <row r="565" spans="1:44" ht="14.25" customHeight="1" hidden="1">
      <c r="A565" s="232"/>
      <c r="B565" s="235"/>
      <c r="C565" s="24" t="s">
        <v>0</v>
      </c>
      <c r="D565" s="83" t="s">
        <v>82</v>
      </c>
      <c r="E565" s="238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56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167"/>
      <c r="AO565" s="167"/>
      <c r="AP565" s="167"/>
      <c r="AQ565" s="167"/>
      <c r="AR565" s="167"/>
    </row>
    <row r="566" spans="1:44" ht="14.25" customHeight="1" hidden="1">
      <c r="A566" s="232"/>
      <c r="B566" s="235"/>
      <c r="C566" s="25" t="s">
        <v>36</v>
      </c>
      <c r="D566" s="20" t="s">
        <v>42</v>
      </c>
      <c r="E566" s="238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56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167"/>
      <c r="AO566" s="167"/>
      <c r="AP566" s="167"/>
      <c r="AQ566" s="167"/>
      <c r="AR566" s="167"/>
    </row>
    <row r="567" spans="1:44" ht="14.25" customHeight="1" hidden="1">
      <c r="A567" s="232"/>
      <c r="B567" s="235"/>
      <c r="C567" s="24" t="s">
        <v>37</v>
      </c>
      <c r="D567" s="85"/>
      <c r="E567" s="238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56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167"/>
      <c r="AO567" s="167"/>
      <c r="AP567" s="167"/>
      <c r="AQ567" s="167"/>
      <c r="AR567" s="167"/>
    </row>
    <row r="568" spans="1:44" ht="14.25" customHeight="1" hidden="1">
      <c r="A568" s="232"/>
      <c r="B568" s="235"/>
      <c r="C568" s="24" t="s">
        <v>38</v>
      </c>
      <c r="D568" s="21">
        <v>20000000</v>
      </c>
      <c r="E568" s="238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56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167"/>
      <c r="AO568" s="167"/>
      <c r="AP568" s="167"/>
      <c r="AQ568" s="167"/>
      <c r="AR568" s="167"/>
    </row>
    <row r="569" spans="1:44" ht="14.25" customHeight="1" hidden="1">
      <c r="A569" s="232"/>
      <c r="B569" s="235"/>
      <c r="C569" s="25" t="s">
        <v>39</v>
      </c>
      <c r="D569" s="27">
        <v>41085</v>
      </c>
      <c r="E569" s="238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56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167"/>
      <c r="AO569" s="167"/>
      <c r="AP569" s="167"/>
      <c r="AQ569" s="167"/>
      <c r="AR569" s="167"/>
    </row>
    <row r="570" spans="1:44" ht="14.25" customHeight="1" hidden="1">
      <c r="A570" s="232"/>
      <c r="B570" s="235"/>
      <c r="C570" s="24" t="s">
        <v>1</v>
      </c>
      <c r="D570" s="142">
        <v>0.0714</v>
      </c>
      <c r="E570" s="238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56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167"/>
      <c r="AO570" s="167"/>
      <c r="AP570" s="167"/>
      <c r="AQ570" s="167"/>
      <c r="AR570" s="167"/>
    </row>
    <row r="571" spans="1:44" ht="14.25" customHeight="1" hidden="1" thickBot="1">
      <c r="A571" s="233"/>
      <c r="B571" s="236"/>
      <c r="C571" s="26" t="s">
        <v>41</v>
      </c>
      <c r="D571" s="28"/>
      <c r="E571" s="239"/>
      <c r="F571" s="227"/>
      <c r="G571" s="227"/>
      <c r="H571" s="227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  <c r="AA571" s="227"/>
      <c r="AB571" s="227"/>
      <c r="AC571" s="227"/>
      <c r="AD571" s="257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167"/>
      <c r="AO571" s="167"/>
      <c r="AP571" s="167"/>
      <c r="AQ571" s="167"/>
      <c r="AR571" s="167"/>
    </row>
    <row r="572" spans="1:45" ht="28.5" customHeight="1" hidden="1">
      <c r="A572" s="231" t="s">
        <v>51</v>
      </c>
      <c r="B572" s="234" t="s">
        <v>127</v>
      </c>
      <c r="C572" s="23" t="s">
        <v>40</v>
      </c>
      <c r="D572" s="86" t="s">
        <v>126</v>
      </c>
      <c r="E572" s="237">
        <v>0</v>
      </c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55">
        <f>E572+F572+H572+J572+L572+N572+P572+R572+T572+V572+X572+Z572+AB572-G572-I572-K572-M572-O572-Q572-S572-U572-W572-Y572-AA572-AC572</f>
        <v>0</v>
      </c>
      <c r="AE572" s="240"/>
      <c r="AF572" s="240"/>
      <c r="AG572" s="240">
        <v>163888.75</v>
      </c>
      <c r="AH572" s="240">
        <f>185959.99+166709.78+142193.64+135111.2+112774.26+100788.59+81720.49+67555.59+50121.9+31053.78+16344.1-5992.83</f>
        <v>1084340.49</v>
      </c>
      <c r="AI572" s="240"/>
      <c r="AJ572" s="240"/>
      <c r="AK572" s="240"/>
      <c r="AL572" s="240"/>
      <c r="AM572" s="240"/>
      <c r="AN572" s="167"/>
      <c r="AO572" s="167"/>
      <c r="AP572" s="167"/>
      <c r="AQ572" s="167"/>
      <c r="AR572" s="167"/>
      <c r="AS572" s="259">
        <f>1248229.24-AH572-AG572</f>
        <v>0</v>
      </c>
    </row>
    <row r="573" spans="1:45" ht="14.25" customHeight="1" hidden="1">
      <c r="A573" s="232"/>
      <c r="B573" s="235"/>
      <c r="C573" s="24" t="s">
        <v>0</v>
      </c>
      <c r="D573" s="16" t="s">
        <v>86</v>
      </c>
      <c r="E573" s="238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56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167"/>
      <c r="AO573" s="167"/>
      <c r="AP573" s="167"/>
      <c r="AQ573" s="167"/>
      <c r="AR573" s="167"/>
      <c r="AS573" s="259"/>
    </row>
    <row r="574" spans="1:45" ht="14.25" customHeight="1" hidden="1">
      <c r="A574" s="232"/>
      <c r="B574" s="235"/>
      <c r="C574" s="25" t="s">
        <v>36</v>
      </c>
      <c r="D574" s="20" t="s">
        <v>87</v>
      </c>
      <c r="E574" s="238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56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167"/>
      <c r="AO574" s="167"/>
      <c r="AP574" s="167"/>
      <c r="AQ574" s="167"/>
      <c r="AR574" s="167"/>
      <c r="AS574" s="259"/>
    </row>
    <row r="575" spans="1:45" ht="14.25" customHeight="1" hidden="1">
      <c r="A575" s="232"/>
      <c r="B575" s="235"/>
      <c r="C575" s="24" t="s">
        <v>37</v>
      </c>
      <c r="D575" s="17"/>
      <c r="E575" s="238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56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167"/>
      <c r="AO575" s="167"/>
      <c r="AP575" s="167"/>
      <c r="AQ575" s="167"/>
      <c r="AR575" s="167"/>
      <c r="AS575" s="259"/>
    </row>
    <row r="576" spans="1:45" ht="14.25" customHeight="1" hidden="1">
      <c r="A576" s="232"/>
      <c r="B576" s="235"/>
      <c r="C576" s="24" t="s">
        <v>38</v>
      </c>
      <c r="D576" s="21">
        <v>30000000</v>
      </c>
      <c r="E576" s="238"/>
      <c r="F576" s="226"/>
      <c r="G576" s="226"/>
      <c r="H576" s="226"/>
      <c r="I576" s="226"/>
      <c r="J576" s="226"/>
      <c r="K576" s="226"/>
      <c r="L576" s="226"/>
      <c r="M576" s="226"/>
      <c r="N576" s="226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  <c r="AA576" s="226"/>
      <c r="AB576" s="226"/>
      <c r="AC576" s="226"/>
      <c r="AD576" s="256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167"/>
      <c r="AO576" s="167"/>
      <c r="AP576" s="167"/>
      <c r="AQ576" s="167"/>
      <c r="AR576" s="167"/>
      <c r="AS576" s="259"/>
    </row>
    <row r="577" spans="1:45" ht="14.25" customHeight="1" hidden="1">
      <c r="A577" s="232"/>
      <c r="B577" s="235"/>
      <c r="C577" s="25" t="s">
        <v>39</v>
      </c>
      <c r="D577" s="27">
        <v>41234</v>
      </c>
      <c r="E577" s="238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  <c r="AA577" s="226"/>
      <c r="AB577" s="226"/>
      <c r="AC577" s="226"/>
      <c r="AD577" s="256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167"/>
      <c r="AO577" s="167"/>
      <c r="AP577" s="167"/>
      <c r="AQ577" s="167"/>
      <c r="AR577" s="167"/>
      <c r="AS577" s="259"/>
    </row>
    <row r="578" spans="1:45" ht="14.25" customHeight="1" hidden="1">
      <c r="A578" s="232"/>
      <c r="B578" s="235"/>
      <c r="C578" s="24" t="s">
        <v>1</v>
      </c>
      <c r="D578" s="143">
        <v>0.07975919</v>
      </c>
      <c r="E578" s="238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56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167"/>
      <c r="AO578" s="167"/>
      <c r="AP578" s="167"/>
      <c r="AQ578" s="167"/>
      <c r="AR578" s="167"/>
      <c r="AS578" s="259"/>
    </row>
    <row r="579" spans="1:45" ht="15" customHeight="1" hidden="1" thickBot="1">
      <c r="A579" s="233"/>
      <c r="B579" s="236"/>
      <c r="C579" s="26" t="s">
        <v>41</v>
      </c>
      <c r="D579" s="28"/>
      <c r="E579" s="239"/>
      <c r="F579" s="227"/>
      <c r="G579" s="227"/>
      <c r="H579" s="227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  <c r="AA579" s="227"/>
      <c r="AB579" s="227"/>
      <c r="AC579" s="227"/>
      <c r="AD579" s="257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167"/>
      <c r="AO579" s="167"/>
      <c r="AP579" s="167"/>
      <c r="AQ579" s="167"/>
      <c r="AR579" s="167"/>
      <c r="AS579" s="259"/>
    </row>
    <row r="580" spans="1:45" ht="26.25" customHeight="1" hidden="1">
      <c r="A580" s="231" t="s">
        <v>52</v>
      </c>
      <c r="B580" s="234" t="s">
        <v>133</v>
      </c>
      <c r="C580" s="23" t="s">
        <v>40</v>
      </c>
      <c r="D580" s="19" t="s">
        <v>131</v>
      </c>
      <c r="E580" s="237">
        <v>18100000</v>
      </c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55">
        <f>E580+F580+H580+J580+L580+N580+P580+R580+T580+V580+X580+Z580+AB580-G580-I580-K580-M580-O580-Q580-S580-U580-W580-Y580-AA580-AC580</f>
        <v>18100000</v>
      </c>
      <c r="AE580" s="240"/>
      <c r="AF580" s="240"/>
      <c r="AG580" s="240"/>
      <c r="AH580" s="240">
        <f>174303.44+243360.81+237080.34+222970.07+201500.32+192397.8+173279.76</f>
        <v>1444892.54</v>
      </c>
      <c r="AI580" s="240">
        <f>163706.9+149534.85+124094.5+118878.82+102538.18+90580.94+74711.94+61339.81+46247.6+32265.13+19364.62+6408.64</f>
        <v>989671.9299999999</v>
      </c>
      <c r="AJ580" s="240">
        <f>163706.9+149534.85+124094.5+118878.82+102538.18+90580.94+74711.94+61339.81+46247.6+32265.13+19364.62+6408.64</f>
        <v>989671.9299999999</v>
      </c>
      <c r="AK580" s="240">
        <f>163706.9+149534.85+124094.5+118878.82+102538.18+90580.94+74711.94+61339.81+46247.6+32265.13+19364.62+6408.64</f>
        <v>989671.9299999999</v>
      </c>
      <c r="AL580" s="240"/>
      <c r="AM580" s="240"/>
      <c r="AN580" s="167"/>
      <c r="AO580" s="167"/>
      <c r="AP580" s="167"/>
      <c r="AQ580" s="167"/>
      <c r="AR580" s="167"/>
      <c r="AS580" s="259">
        <f>2456238-AH580-AI580</f>
        <v>21673.530000000028</v>
      </c>
    </row>
    <row r="581" spans="1:45" ht="14.25" customHeight="1" hidden="1">
      <c r="A581" s="232"/>
      <c r="B581" s="235"/>
      <c r="C581" s="24" t="s">
        <v>0</v>
      </c>
      <c r="D581" s="16" t="s">
        <v>132</v>
      </c>
      <c r="E581" s="238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56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167"/>
      <c r="AO581" s="167"/>
      <c r="AP581" s="167"/>
      <c r="AQ581" s="167"/>
      <c r="AR581" s="167"/>
      <c r="AS581" s="259"/>
    </row>
    <row r="582" spans="1:45" ht="14.25" customHeight="1" hidden="1">
      <c r="A582" s="232"/>
      <c r="B582" s="235"/>
      <c r="C582" s="25" t="s">
        <v>36</v>
      </c>
      <c r="D582" s="20" t="s">
        <v>42</v>
      </c>
      <c r="E582" s="238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56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167"/>
      <c r="AO582" s="167"/>
      <c r="AP582" s="167"/>
      <c r="AQ582" s="167"/>
      <c r="AR582" s="167"/>
      <c r="AS582" s="259"/>
    </row>
    <row r="583" spans="1:45" ht="14.25" customHeight="1" hidden="1">
      <c r="A583" s="232"/>
      <c r="B583" s="235"/>
      <c r="C583" s="24" t="s">
        <v>37</v>
      </c>
      <c r="D583" s="85"/>
      <c r="E583" s="238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56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167"/>
      <c r="AO583" s="167"/>
      <c r="AP583" s="167"/>
      <c r="AQ583" s="167"/>
      <c r="AR583" s="167"/>
      <c r="AS583" s="259"/>
    </row>
    <row r="584" spans="1:45" ht="14.25" customHeight="1" hidden="1">
      <c r="A584" s="232"/>
      <c r="B584" s="235"/>
      <c r="C584" s="24" t="s">
        <v>38</v>
      </c>
      <c r="D584" s="21">
        <v>30000000</v>
      </c>
      <c r="E584" s="238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56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167"/>
      <c r="AO584" s="167"/>
      <c r="AP584" s="167"/>
      <c r="AQ584" s="167"/>
      <c r="AR584" s="167"/>
      <c r="AS584" s="259"/>
    </row>
    <row r="585" spans="1:45" ht="14.25" customHeight="1" hidden="1">
      <c r="A585" s="232"/>
      <c r="B585" s="235"/>
      <c r="C585" s="25" t="s">
        <v>39</v>
      </c>
      <c r="D585" s="27">
        <v>41599</v>
      </c>
      <c r="E585" s="238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56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167"/>
      <c r="AO585" s="167"/>
      <c r="AP585" s="167"/>
      <c r="AQ585" s="167"/>
      <c r="AR585" s="167"/>
      <c r="AS585" s="259"/>
    </row>
    <row r="586" spans="1:45" ht="14.25" customHeight="1" hidden="1">
      <c r="A586" s="232"/>
      <c r="B586" s="235"/>
      <c r="C586" s="24" t="s">
        <v>1</v>
      </c>
      <c r="D586" s="144">
        <v>0.101262</v>
      </c>
      <c r="E586" s="238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56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167"/>
      <c r="AO586" s="167"/>
      <c r="AP586" s="167"/>
      <c r="AQ586" s="167"/>
      <c r="AR586" s="167"/>
      <c r="AS586" s="259"/>
    </row>
    <row r="587" spans="1:45" ht="14.25" customHeight="1" hidden="1" thickBot="1">
      <c r="A587" s="233"/>
      <c r="B587" s="236"/>
      <c r="C587" s="26" t="s">
        <v>41</v>
      </c>
      <c r="D587" s="28"/>
      <c r="E587" s="239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  <c r="AA587" s="227"/>
      <c r="AB587" s="227"/>
      <c r="AC587" s="227"/>
      <c r="AD587" s="257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167"/>
      <c r="AO587" s="167"/>
      <c r="AP587" s="167"/>
      <c r="AQ587" s="167"/>
      <c r="AR587" s="167"/>
      <c r="AS587" s="259"/>
    </row>
    <row r="588" spans="1:45" ht="26.25" customHeight="1" hidden="1">
      <c r="A588" s="231" t="s">
        <v>144</v>
      </c>
      <c r="B588" s="234" t="s">
        <v>147</v>
      </c>
      <c r="C588" s="23" t="s">
        <v>40</v>
      </c>
      <c r="D588" s="118" t="s">
        <v>146</v>
      </c>
      <c r="E588" s="237">
        <v>32050000</v>
      </c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55">
        <f>E588+F588+H588+J588+L588+N588+P588+R588+T588+V588+X588+Z588+AB588-G588-I588-K588-M588-O588-Q588-S588-U588-W588-Y588-AA588-AC588</f>
        <v>32050000</v>
      </c>
      <c r="AE588" s="240"/>
      <c r="AF588" s="240"/>
      <c r="AG588" s="240"/>
      <c r="AH588" s="240">
        <f>9507.66+280421.75</f>
        <v>289929.41</v>
      </c>
      <c r="AI588" s="240">
        <f>265646.55+243313.96+192213.26+195100.61+164674.45+142869.49+116461.11+93049.03+71353.03+44141.09+20143.37</f>
        <v>1548965.9500000004</v>
      </c>
      <c r="AJ588" s="240">
        <f>265646.55+243313.96+192213.26+195100.61+164674.45+142869.49+116461.11+93049.03+71353.03+44141.09+20143.37</f>
        <v>1548965.9500000004</v>
      </c>
      <c r="AK588" s="240">
        <f>265646.55+243313.96+192213.26+195100.61+164674.45+142869.49+116461.11+93049.03+71353.03+44141.09+20143.37</f>
        <v>1548965.9500000004</v>
      </c>
      <c r="AL588" s="240"/>
      <c r="AM588" s="240"/>
      <c r="AN588" s="167"/>
      <c r="AO588" s="167"/>
      <c r="AP588" s="167"/>
      <c r="AQ588" s="167"/>
      <c r="AR588" s="167"/>
      <c r="AS588" s="259">
        <f>1859712.85-AH588-AI588</f>
        <v>20817.489999999758</v>
      </c>
    </row>
    <row r="589" spans="1:45" ht="14.25" customHeight="1" hidden="1">
      <c r="A589" s="232"/>
      <c r="B589" s="235"/>
      <c r="C589" s="24" t="s">
        <v>0</v>
      </c>
      <c r="D589" s="16" t="s">
        <v>145</v>
      </c>
      <c r="E589" s="238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56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167"/>
      <c r="AO589" s="167"/>
      <c r="AP589" s="167"/>
      <c r="AQ589" s="167"/>
      <c r="AR589" s="167"/>
      <c r="AS589" s="259"/>
    </row>
    <row r="590" spans="1:45" ht="14.25" customHeight="1" hidden="1">
      <c r="A590" s="232"/>
      <c r="B590" s="235"/>
      <c r="C590" s="25" t="s">
        <v>36</v>
      </c>
      <c r="D590" s="20" t="s">
        <v>42</v>
      </c>
      <c r="E590" s="238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56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167"/>
      <c r="AO590" s="167"/>
      <c r="AP590" s="167"/>
      <c r="AQ590" s="167"/>
      <c r="AR590" s="167"/>
      <c r="AS590" s="259"/>
    </row>
    <row r="591" spans="1:45" ht="14.25" customHeight="1" hidden="1">
      <c r="A591" s="232"/>
      <c r="B591" s="235"/>
      <c r="C591" s="24" t="s">
        <v>37</v>
      </c>
      <c r="D591" s="85"/>
      <c r="E591" s="238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56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167"/>
      <c r="AO591" s="167"/>
      <c r="AP591" s="167"/>
      <c r="AQ591" s="167"/>
      <c r="AR591" s="167"/>
      <c r="AS591" s="259"/>
    </row>
    <row r="592" spans="1:45" ht="14.25" customHeight="1" hidden="1">
      <c r="A592" s="232"/>
      <c r="B592" s="235"/>
      <c r="C592" s="24" t="s">
        <v>38</v>
      </c>
      <c r="D592" s="21">
        <v>35000000</v>
      </c>
      <c r="E592" s="238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56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167"/>
      <c r="AO592" s="167"/>
      <c r="AP592" s="167"/>
      <c r="AQ592" s="167"/>
      <c r="AR592" s="167"/>
      <c r="AS592" s="259"/>
    </row>
    <row r="593" spans="1:45" ht="14.25" customHeight="1" hidden="1">
      <c r="A593" s="232"/>
      <c r="B593" s="235"/>
      <c r="C593" s="25" t="s">
        <v>39</v>
      </c>
      <c r="D593" s="27">
        <v>41603</v>
      </c>
      <c r="E593" s="238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56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167"/>
      <c r="AO593" s="167"/>
      <c r="AP593" s="167"/>
      <c r="AQ593" s="167"/>
      <c r="AR593" s="167"/>
      <c r="AS593" s="259"/>
    </row>
    <row r="594" spans="1:45" ht="14.25" customHeight="1" hidden="1">
      <c r="A594" s="232"/>
      <c r="B594" s="235"/>
      <c r="C594" s="24" t="s">
        <v>1</v>
      </c>
      <c r="D594" s="144">
        <v>0.099423</v>
      </c>
      <c r="E594" s="238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56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167"/>
      <c r="AO594" s="167"/>
      <c r="AP594" s="167"/>
      <c r="AQ594" s="167"/>
      <c r="AR594" s="167"/>
      <c r="AS594" s="259"/>
    </row>
    <row r="595" spans="1:45" ht="14.25" customHeight="1" hidden="1" thickBot="1">
      <c r="A595" s="233"/>
      <c r="B595" s="236"/>
      <c r="C595" s="26" t="s">
        <v>41</v>
      </c>
      <c r="D595" s="28"/>
      <c r="E595" s="239"/>
      <c r="F595" s="227"/>
      <c r="G595" s="227"/>
      <c r="H595" s="227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  <c r="AA595" s="227"/>
      <c r="AB595" s="227"/>
      <c r="AC595" s="227"/>
      <c r="AD595" s="257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167"/>
      <c r="AO595" s="167"/>
      <c r="AP595" s="167"/>
      <c r="AQ595" s="167"/>
      <c r="AR595" s="167"/>
      <c r="AS595" s="259"/>
    </row>
    <row r="596" spans="1:45" ht="26.25" customHeight="1" hidden="1">
      <c r="A596" s="231" t="s">
        <v>150</v>
      </c>
      <c r="B596" s="234" t="s">
        <v>151</v>
      </c>
      <c r="C596" s="23" t="s">
        <v>40</v>
      </c>
      <c r="D596" s="19" t="s">
        <v>149</v>
      </c>
      <c r="E596" s="237">
        <v>0</v>
      </c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55">
        <f>E596+F596+H596+J596+L596+N596+P596+R596+T596+V596+X596+Z596+AB596-G596-I596-K596-M596-O596-Q596-S596-U596-W596-Y596-AA596-AC596</f>
        <v>0</v>
      </c>
      <c r="AE596" s="240"/>
      <c r="AF596" s="240"/>
      <c r="AG596" s="240"/>
      <c r="AH596" s="240"/>
      <c r="AI596" s="240">
        <f>295199.48+327482.67+318133.33+291363.85+282605.83+255213.05</f>
        <v>1769998.2100000002</v>
      </c>
      <c r="AJ596" s="240">
        <f>241468.73+222146.76+186091.86+184749.39+159849.77+142988.99+122452.41+104968.34+83776.49+65109.78+47625.71+29582.27+10052.54</f>
        <v>1600863.04</v>
      </c>
      <c r="AK596" s="240"/>
      <c r="AL596" s="240"/>
      <c r="AM596" s="240"/>
      <c r="AN596" s="167"/>
      <c r="AO596" s="167"/>
      <c r="AP596" s="167"/>
      <c r="AQ596" s="167"/>
      <c r="AR596" s="167"/>
      <c r="AS596" s="259">
        <f>3429322.59-AI596-AJ596-AL596</f>
        <v>58461.33999999962</v>
      </c>
    </row>
    <row r="597" spans="1:45" ht="14.25" customHeight="1" hidden="1">
      <c r="A597" s="232"/>
      <c r="B597" s="235"/>
      <c r="C597" s="24" t="s">
        <v>0</v>
      </c>
      <c r="D597" s="16" t="s">
        <v>132</v>
      </c>
      <c r="E597" s="238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  <c r="AB597" s="226"/>
      <c r="AC597" s="226"/>
      <c r="AD597" s="256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167"/>
      <c r="AO597" s="167"/>
      <c r="AP597" s="167"/>
      <c r="AQ597" s="167"/>
      <c r="AR597" s="167"/>
      <c r="AS597" s="259"/>
    </row>
    <row r="598" spans="1:45" ht="14.25" customHeight="1" hidden="1">
      <c r="A598" s="232"/>
      <c r="B598" s="235"/>
      <c r="C598" s="25" t="s">
        <v>36</v>
      </c>
      <c r="D598" s="20" t="s">
        <v>42</v>
      </c>
      <c r="E598" s="238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  <c r="AA598" s="226"/>
      <c r="AB598" s="226"/>
      <c r="AC598" s="226"/>
      <c r="AD598" s="256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167"/>
      <c r="AO598" s="167"/>
      <c r="AP598" s="167"/>
      <c r="AQ598" s="167"/>
      <c r="AR598" s="167"/>
      <c r="AS598" s="259"/>
    </row>
    <row r="599" spans="1:45" ht="14.25" customHeight="1" hidden="1">
      <c r="A599" s="232"/>
      <c r="B599" s="235"/>
      <c r="C599" s="24" t="s">
        <v>37</v>
      </c>
      <c r="D599" s="85"/>
      <c r="E599" s="238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56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167"/>
      <c r="AO599" s="167"/>
      <c r="AP599" s="167"/>
      <c r="AQ599" s="167"/>
      <c r="AR599" s="167"/>
      <c r="AS599" s="259"/>
    </row>
    <row r="600" spans="1:45" ht="14.25" customHeight="1" hidden="1">
      <c r="A600" s="232"/>
      <c r="B600" s="235"/>
      <c r="C600" s="24" t="s">
        <v>38</v>
      </c>
      <c r="D600" s="21">
        <v>35000000</v>
      </c>
      <c r="E600" s="238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56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167"/>
      <c r="AO600" s="167"/>
      <c r="AP600" s="167"/>
      <c r="AQ600" s="167"/>
      <c r="AR600" s="167"/>
      <c r="AS600" s="259"/>
    </row>
    <row r="601" spans="1:45" ht="14.25" customHeight="1" hidden="1">
      <c r="A601" s="232"/>
      <c r="B601" s="235"/>
      <c r="C601" s="25" t="s">
        <v>39</v>
      </c>
      <c r="D601" s="27">
        <v>41964</v>
      </c>
      <c r="E601" s="238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56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167"/>
      <c r="AO601" s="167"/>
      <c r="AP601" s="167"/>
      <c r="AQ601" s="167"/>
      <c r="AR601" s="167"/>
      <c r="AS601" s="259"/>
    </row>
    <row r="602" spans="1:45" ht="14.25" customHeight="1" hidden="1">
      <c r="A602" s="232"/>
      <c r="B602" s="235"/>
      <c r="C602" s="24" t="s">
        <v>1</v>
      </c>
      <c r="D602" s="144">
        <v>0.116667</v>
      </c>
      <c r="E602" s="238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56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167"/>
      <c r="AO602" s="167"/>
      <c r="AP602" s="167"/>
      <c r="AQ602" s="167"/>
      <c r="AR602" s="167"/>
      <c r="AS602" s="259"/>
    </row>
    <row r="603" spans="1:45" ht="14.25" customHeight="1" hidden="1" thickBot="1">
      <c r="A603" s="233"/>
      <c r="B603" s="236"/>
      <c r="C603" s="26" t="s">
        <v>41</v>
      </c>
      <c r="D603" s="28"/>
      <c r="E603" s="239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  <c r="AA603" s="227"/>
      <c r="AB603" s="227"/>
      <c r="AC603" s="227"/>
      <c r="AD603" s="257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167"/>
      <c r="AO603" s="167"/>
      <c r="AP603" s="167"/>
      <c r="AQ603" s="167"/>
      <c r="AR603" s="167"/>
      <c r="AS603" s="259"/>
    </row>
    <row r="604" spans="1:45" ht="27" customHeight="1" hidden="1">
      <c r="A604" s="231" t="s">
        <v>152</v>
      </c>
      <c r="B604" s="234" t="s">
        <v>153</v>
      </c>
      <c r="C604" s="23" t="s">
        <v>40</v>
      </c>
      <c r="D604" s="118" t="s">
        <v>154</v>
      </c>
      <c r="E604" s="237">
        <v>0</v>
      </c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55">
        <f>E604+F604+H604+J604+L604+N604+P604+R604+T604+V604+X604+Z604+AB604-G604-I604-K604-M604-O604-Q604-S604-U604-W604-Y604-AA604-AC604</f>
        <v>0</v>
      </c>
      <c r="AE604" s="240"/>
      <c r="AF604" s="240"/>
      <c r="AG604" s="240"/>
      <c r="AH604" s="240"/>
      <c r="AI604" s="240">
        <f>14178.08</f>
        <v>14178.08</v>
      </c>
      <c r="AJ604" s="240">
        <f>424554.8+404075.35+341849.32+352089.04+318219.18+304041.09+268595.89+263082.2+235513.7+207157.54+186678.08+158321.92</f>
        <v>3464178.1100000003</v>
      </c>
      <c r="AK604" s="240">
        <f>139417.81+115000+79554.79+67739.73+41746.58+19691.78</f>
        <v>463150.68999999994</v>
      </c>
      <c r="AL604" s="240"/>
      <c r="AM604" s="240"/>
      <c r="AN604" s="199"/>
      <c r="AO604" s="199"/>
      <c r="AP604" s="199"/>
      <c r="AQ604" s="199"/>
      <c r="AR604" s="199"/>
      <c r="AS604" s="241">
        <f>3988767.13-AI604-AJ604-AL604</f>
        <v>510410.9399999995</v>
      </c>
    </row>
    <row r="605" spans="1:45" ht="14.25" customHeight="1" hidden="1">
      <c r="A605" s="232"/>
      <c r="B605" s="235"/>
      <c r="C605" s="24" t="s">
        <v>0</v>
      </c>
      <c r="D605" s="16" t="s">
        <v>132</v>
      </c>
      <c r="E605" s="238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56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199"/>
      <c r="AO605" s="199"/>
      <c r="AP605" s="199"/>
      <c r="AQ605" s="199"/>
      <c r="AR605" s="199"/>
      <c r="AS605" s="241"/>
    </row>
    <row r="606" spans="1:45" ht="14.25" customHeight="1" hidden="1">
      <c r="A606" s="232"/>
      <c r="B606" s="235"/>
      <c r="C606" s="25" t="s">
        <v>36</v>
      </c>
      <c r="D606" s="20" t="s">
        <v>42</v>
      </c>
      <c r="E606" s="238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56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199"/>
      <c r="AO606" s="199"/>
      <c r="AP606" s="199"/>
      <c r="AQ606" s="199"/>
      <c r="AR606" s="199"/>
      <c r="AS606" s="241"/>
    </row>
    <row r="607" spans="1:45" ht="14.25" customHeight="1" hidden="1">
      <c r="A607" s="232"/>
      <c r="B607" s="235"/>
      <c r="C607" s="24" t="s">
        <v>37</v>
      </c>
      <c r="D607" s="85"/>
      <c r="E607" s="238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56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199"/>
      <c r="AO607" s="199"/>
      <c r="AP607" s="199"/>
      <c r="AQ607" s="199"/>
      <c r="AR607" s="199"/>
      <c r="AS607" s="241"/>
    </row>
    <row r="608" spans="1:45" ht="14.25" customHeight="1" hidden="1">
      <c r="A608" s="232"/>
      <c r="B608" s="235"/>
      <c r="C608" s="24" t="s">
        <v>38</v>
      </c>
      <c r="D608" s="21">
        <v>45000000</v>
      </c>
      <c r="E608" s="238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56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199"/>
      <c r="AO608" s="199"/>
      <c r="AP608" s="199"/>
      <c r="AQ608" s="199"/>
      <c r="AR608" s="199"/>
      <c r="AS608" s="241"/>
    </row>
    <row r="609" spans="1:45" ht="14.25" customHeight="1" hidden="1">
      <c r="A609" s="232"/>
      <c r="B609" s="235"/>
      <c r="C609" s="25" t="s">
        <v>39</v>
      </c>
      <c r="D609" s="27">
        <v>42149</v>
      </c>
      <c r="E609" s="238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56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199"/>
      <c r="AO609" s="199"/>
      <c r="AP609" s="199"/>
      <c r="AQ609" s="199"/>
      <c r="AR609" s="199"/>
      <c r="AS609" s="241"/>
    </row>
    <row r="610" spans="1:45" ht="14.25" customHeight="1" hidden="1">
      <c r="A610" s="232"/>
      <c r="B610" s="235"/>
      <c r="C610" s="24" t="s">
        <v>1</v>
      </c>
      <c r="D610" s="144">
        <v>0.115</v>
      </c>
      <c r="E610" s="238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56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199"/>
      <c r="AO610" s="199"/>
      <c r="AP610" s="199"/>
      <c r="AQ610" s="199"/>
      <c r="AR610" s="199"/>
      <c r="AS610" s="241"/>
    </row>
    <row r="611" spans="1:45" ht="14.25" customHeight="1" hidden="1" thickBot="1">
      <c r="A611" s="233"/>
      <c r="B611" s="236"/>
      <c r="C611" s="26" t="s">
        <v>41</v>
      </c>
      <c r="D611" s="28"/>
      <c r="E611" s="239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  <c r="AA611" s="227"/>
      <c r="AB611" s="227"/>
      <c r="AC611" s="227"/>
      <c r="AD611" s="257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199"/>
      <c r="AO611" s="199"/>
      <c r="AP611" s="199"/>
      <c r="AQ611" s="199"/>
      <c r="AR611" s="199"/>
      <c r="AS611" s="241"/>
    </row>
    <row r="612" spans="1:45" ht="28.5" customHeight="1" hidden="1">
      <c r="A612" s="231" t="s">
        <v>156</v>
      </c>
      <c r="B612" s="234" t="s">
        <v>157</v>
      </c>
      <c r="C612" s="23" t="s">
        <v>40</v>
      </c>
      <c r="D612" s="118" t="s">
        <v>158</v>
      </c>
      <c r="E612" s="237">
        <v>0</v>
      </c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55">
        <f>E612+F612+H612+J612+L612+N612+P612+R612+T612+V612+X612+Z612+AB612-G612-I612-K612-M612-O612-Q612-S612-U612-W612-Y612-AA612-AC612</f>
        <v>0</v>
      </c>
      <c r="AE612" s="240"/>
      <c r="AF612" s="240"/>
      <c r="AG612" s="240"/>
      <c r="AH612" s="240"/>
      <c r="AI612" s="240"/>
      <c r="AJ612" s="240">
        <f>277807.36+331231.86+320546.96+331231.86+331231.86+320546.96+331231.86+320546.96</f>
        <v>2564375.6799999997</v>
      </c>
      <c r="AK612" s="240">
        <f>331231.86+331231.86+299177.16+331231.86+32054.7-0.01</f>
        <v>1324927.4299999997</v>
      </c>
      <c r="AL612" s="240"/>
      <c r="AM612" s="240"/>
      <c r="AN612" s="199"/>
      <c r="AO612" s="199"/>
      <c r="AP612" s="199"/>
      <c r="AQ612" s="199"/>
      <c r="AR612" s="199"/>
      <c r="AS612" s="241">
        <f>3899988.01-AI612-AJ612-AL612</f>
        <v>1335612.33</v>
      </c>
    </row>
    <row r="613" spans="1:45" ht="25.5" customHeight="1" hidden="1">
      <c r="A613" s="232"/>
      <c r="B613" s="235"/>
      <c r="C613" s="24" t="s">
        <v>0</v>
      </c>
      <c r="D613" s="83" t="s">
        <v>82</v>
      </c>
      <c r="E613" s="238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56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199"/>
      <c r="AO613" s="199"/>
      <c r="AP613" s="199"/>
      <c r="AQ613" s="199"/>
      <c r="AR613" s="199"/>
      <c r="AS613" s="241"/>
    </row>
    <row r="614" spans="1:45" ht="14.25" customHeight="1" hidden="1">
      <c r="A614" s="232"/>
      <c r="B614" s="235"/>
      <c r="C614" s="25" t="s">
        <v>36</v>
      </c>
      <c r="D614" s="20" t="s">
        <v>42</v>
      </c>
      <c r="E614" s="238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56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199"/>
      <c r="AO614" s="199"/>
      <c r="AP614" s="199"/>
      <c r="AQ614" s="199"/>
      <c r="AR614" s="199"/>
      <c r="AS614" s="241"/>
    </row>
    <row r="615" spans="1:45" ht="14.25" customHeight="1" hidden="1">
      <c r="A615" s="232"/>
      <c r="B615" s="235"/>
      <c r="C615" s="24" t="s">
        <v>37</v>
      </c>
      <c r="D615" s="85"/>
      <c r="E615" s="238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56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199"/>
      <c r="AO615" s="199"/>
      <c r="AP615" s="199"/>
      <c r="AQ615" s="199"/>
      <c r="AR615" s="199"/>
      <c r="AS615" s="241"/>
    </row>
    <row r="616" spans="1:45" ht="14.25" customHeight="1" hidden="1">
      <c r="A616" s="232"/>
      <c r="B616" s="235"/>
      <c r="C616" s="24" t="s">
        <v>38</v>
      </c>
      <c r="D616" s="21">
        <v>40000000</v>
      </c>
      <c r="E616" s="238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56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199"/>
      <c r="AO616" s="199"/>
      <c r="AP616" s="199"/>
      <c r="AQ616" s="199"/>
      <c r="AR616" s="199"/>
      <c r="AS616" s="241"/>
    </row>
    <row r="617" spans="1:45" ht="14.25" customHeight="1" hidden="1">
      <c r="A617" s="232"/>
      <c r="B617" s="235"/>
      <c r="C617" s="25" t="s">
        <v>39</v>
      </c>
      <c r="D617" s="27">
        <v>42123</v>
      </c>
      <c r="E617" s="238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56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199"/>
      <c r="AO617" s="199"/>
      <c r="AP617" s="199"/>
      <c r="AQ617" s="199"/>
      <c r="AR617" s="199"/>
      <c r="AS617" s="241"/>
    </row>
    <row r="618" spans="1:45" ht="14.25" customHeight="1" hidden="1">
      <c r="A618" s="232"/>
      <c r="B618" s="235"/>
      <c r="C618" s="24" t="s">
        <v>1</v>
      </c>
      <c r="D618" s="165">
        <v>0.0974997</v>
      </c>
      <c r="E618" s="238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56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199"/>
      <c r="AO618" s="199"/>
      <c r="AP618" s="199"/>
      <c r="AQ618" s="199"/>
      <c r="AR618" s="199"/>
      <c r="AS618" s="241"/>
    </row>
    <row r="619" spans="1:45" ht="14.25" customHeight="1" hidden="1" thickBot="1">
      <c r="A619" s="233"/>
      <c r="B619" s="236"/>
      <c r="C619" s="26" t="s">
        <v>41</v>
      </c>
      <c r="D619" s="28"/>
      <c r="E619" s="239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  <c r="AA619" s="227"/>
      <c r="AB619" s="227"/>
      <c r="AC619" s="227"/>
      <c r="AD619" s="257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199"/>
      <c r="AO619" s="199"/>
      <c r="AP619" s="199"/>
      <c r="AQ619" s="199"/>
      <c r="AR619" s="199"/>
      <c r="AS619" s="241"/>
    </row>
    <row r="620" spans="1:45" ht="26.25" customHeight="1" hidden="1">
      <c r="A620" s="231" t="s">
        <v>163</v>
      </c>
      <c r="B620" s="234" t="s">
        <v>164</v>
      </c>
      <c r="C620" s="23" t="s">
        <v>40</v>
      </c>
      <c r="D620" s="118" t="s">
        <v>162</v>
      </c>
      <c r="E620" s="237">
        <v>0</v>
      </c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  <c r="AA620" s="225"/>
      <c r="AB620" s="225"/>
      <c r="AC620" s="225"/>
      <c r="AD620" s="255">
        <f>E620+F620+H620+J620+L620+N620+P620+R620+T620+V620+X620+Z620+AB620-G620-I620-K620-M620-O620-Q620-S620-U620-W620-Y620-AA620-AC620</f>
        <v>0</v>
      </c>
      <c r="AE620" s="240"/>
      <c r="AF620" s="240"/>
      <c r="AG620" s="240"/>
      <c r="AH620" s="240"/>
      <c r="AI620" s="240"/>
      <c r="AJ620" s="240">
        <f>106545.42+94567.25</f>
        <v>201112.66999999998</v>
      </c>
      <c r="AK620" s="240">
        <f>88471.86+79133.85+62176.6+59252.93+49985.8+40878.15+29803.66+21298.45+11056.77+5528.38</f>
        <v>447586.45000000007</v>
      </c>
      <c r="AL620" s="240"/>
      <c r="AM620" s="240"/>
      <c r="AN620" s="199"/>
      <c r="AO620" s="199"/>
      <c r="AP620" s="199"/>
      <c r="AQ620" s="199"/>
      <c r="AR620" s="199"/>
      <c r="AS620" s="241">
        <f>669660.9-AJ620-AL620</f>
        <v>468548.23000000004</v>
      </c>
    </row>
    <row r="621" spans="1:45" ht="14.25" customHeight="1" hidden="1">
      <c r="A621" s="232"/>
      <c r="B621" s="235"/>
      <c r="C621" s="24" t="s">
        <v>0</v>
      </c>
      <c r="D621" s="16" t="s">
        <v>132</v>
      </c>
      <c r="E621" s="238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56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199"/>
      <c r="AO621" s="199"/>
      <c r="AP621" s="199"/>
      <c r="AQ621" s="199"/>
      <c r="AR621" s="199"/>
      <c r="AS621" s="241"/>
    </row>
    <row r="622" spans="1:47" ht="14.25" customHeight="1" hidden="1">
      <c r="A622" s="232"/>
      <c r="B622" s="235"/>
      <c r="C622" s="25" t="s">
        <v>36</v>
      </c>
      <c r="D622" s="20" t="s">
        <v>42</v>
      </c>
      <c r="E622" s="238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56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199"/>
      <c r="AO622" s="199"/>
      <c r="AP622" s="199"/>
      <c r="AQ622" s="199"/>
      <c r="AR622" s="199"/>
      <c r="AS622" s="241"/>
      <c r="AU622">
        <v>21298.45</v>
      </c>
    </row>
    <row r="623" spans="1:45" ht="14.25" customHeight="1" hidden="1">
      <c r="A623" s="232"/>
      <c r="B623" s="235"/>
      <c r="C623" s="24" t="s">
        <v>37</v>
      </c>
      <c r="D623" s="85"/>
      <c r="E623" s="238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56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199"/>
      <c r="AO623" s="199"/>
      <c r="AP623" s="199"/>
      <c r="AQ623" s="199"/>
      <c r="AR623" s="199"/>
      <c r="AS623" s="241"/>
    </row>
    <row r="624" spans="1:45" ht="14.25" customHeight="1" hidden="1">
      <c r="A624" s="232"/>
      <c r="B624" s="235"/>
      <c r="C624" s="24" t="s">
        <v>38</v>
      </c>
      <c r="D624" s="21">
        <v>10000000</v>
      </c>
      <c r="E624" s="238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56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199"/>
      <c r="AO624" s="199"/>
      <c r="AP624" s="199"/>
      <c r="AQ624" s="199"/>
      <c r="AR624" s="199"/>
      <c r="AS624" s="241"/>
    </row>
    <row r="625" spans="1:45" ht="14.25" customHeight="1" hidden="1">
      <c r="A625" s="232"/>
      <c r="B625" s="235"/>
      <c r="C625" s="25" t="s">
        <v>39</v>
      </c>
      <c r="D625" s="27">
        <v>42277</v>
      </c>
      <c r="E625" s="238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56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199"/>
      <c r="AO625" s="199"/>
      <c r="AP625" s="199"/>
      <c r="AQ625" s="199"/>
      <c r="AR625" s="199"/>
      <c r="AS625" s="241"/>
    </row>
    <row r="626" spans="1:45" ht="14.25" customHeight="1" hidden="1">
      <c r="A626" s="232"/>
      <c r="B626" s="235"/>
      <c r="C626" s="24" t="s">
        <v>1</v>
      </c>
      <c r="D626" s="144">
        <v>0.12935</v>
      </c>
      <c r="E626" s="238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56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199"/>
      <c r="AO626" s="199"/>
      <c r="AP626" s="199"/>
      <c r="AQ626" s="199"/>
      <c r="AR626" s="199"/>
      <c r="AS626" s="241"/>
    </row>
    <row r="627" spans="1:45" ht="14.25" customHeight="1" hidden="1" thickBot="1">
      <c r="A627" s="233"/>
      <c r="B627" s="236"/>
      <c r="C627" s="26" t="s">
        <v>41</v>
      </c>
      <c r="D627" s="28"/>
      <c r="E627" s="239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  <c r="AA627" s="227"/>
      <c r="AB627" s="227"/>
      <c r="AC627" s="227"/>
      <c r="AD627" s="257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199"/>
      <c r="AO627" s="199"/>
      <c r="AP627" s="199"/>
      <c r="AQ627" s="199"/>
      <c r="AR627" s="199"/>
      <c r="AS627" s="241"/>
    </row>
    <row r="628" spans="1:45" ht="28.5" customHeight="1" hidden="1">
      <c r="A628" s="231" t="s">
        <v>165</v>
      </c>
      <c r="B628" s="234" t="s">
        <v>167</v>
      </c>
      <c r="C628" s="23" t="s">
        <v>40</v>
      </c>
      <c r="D628" s="118" t="s">
        <v>166</v>
      </c>
      <c r="E628" s="237">
        <v>0</v>
      </c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  <c r="AA628" s="225"/>
      <c r="AB628" s="225"/>
      <c r="AC628" s="225"/>
      <c r="AD628" s="255">
        <f>E628+F628+H628+J628+L628+N628+P628+R628+T628+V628+X628+Z628+AB628-G628-I628-K628-M628-O628-Q628-S628-U628-W628-Y628-AA628-AC628</f>
        <v>0</v>
      </c>
      <c r="AE628" s="240"/>
      <c r="AF628" s="240"/>
      <c r="AG628" s="240"/>
      <c r="AH628" s="240"/>
      <c r="AI628" s="240"/>
      <c r="AJ628" s="240">
        <f>134794.51</f>
        <v>134794.51</v>
      </c>
      <c r="AK628" s="240">
        <f>464292.22+464292.21+419360.71+464292.21+449315.05+464292.21+449315.05+464292.21+464292.21+449315.05+464292.21+299543.36</f>
        <v>5316894.7</v>
      </c>
      <c r="AL628" s="240"/>
      <c r="AM628" s="240"/>
      <c r="AN628" s="199"/>
      <c r="AO628" s="199"/>
      <c r="AP628" s="199"/>
      <c r="AQ628" s="199"/>
      <c r="AR628" s="199"/>
      <c r="AS628" s="241">
        <f>5466666.67-AI628-AJ628-AL628</f>
        <v>5331872.16</v>
      </c>
    </row>
    <row r="629" spans="1:45" ht="25.5" customHeight="1" hidden="1">
      <c r="A629" s="232"/>
      <c r="B629" s="235"/>
      <c r="C629" s="24" t="s">
        <v>0</v>
      </c>
      <c r="D629" s="83" t="s">
        <v>82</v>
      </c>
      <c r="E629" s="238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56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199"/>
      <c r="AO629" s="199"/>
      <c r="AP629" s="199"/>
      <c r="AQ629" s="199"/>
      <c r="AR629" s="199"/>
      <c r="AS629" s="241"/>
    </row>
    <row r="630" spans="1:45" ht="14.25" customHeight="1" hidden="1">
      <c r="A630" s="232"/>
      <c r="B630" s="235"/>
      <c r="C630" s="25" t="s">
        <v>36</v>
      </c>
      <c r="D630" s="20" t="s">
        <v>42</v>
      </c>
      <c r="E630" s="238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56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199"/>
      <c r="AO630" s="199"/>
      <c r="AP630" s="199"/>
      <c r="AQ630" s="199"/>
      <c r="AR630" s="199"/>
      <c r="AS630" s="241"/>
    </row>
    <row r="631" spans="1:45" ht="14.25" customHeight="1" hidden="1">
      <c r="A631" s="232"/>
      <c r="B631" s="235"/>
      <c r="C631" s="24" t="s">
        <v>37</v>
      </c>
      <c r="D631" s="85"/>
      <c r="E631" s="238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56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199"/>
      <c r="AO631" s="199"/>
      <c r="AP631" s="199"/>
      <c r="AQ631" s="199"/>
      <c r="AR631" s="199"/>
      <c r="AS631" s="241"/>
    </row>
    <row r="632" spans="1:45" ht="14.25" customHeight="1" hidden="1">
      <c r="A632" s="232"/>
      <c r="B632" s="235"/>
      <c r="C632" s="24" t="s">
        <v>38</v>
      </c>
      <c r="D632" s="21">
        <v>40000000</v>
      </c>
      <c r="E632" s="238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56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199"/>
      <c r="AO632" s="199"/>
      <c r="AP632" s="199"/>
      <c r="AQ632" s="199"/>
      <c r="AR632" s="199"/>
      <c r="AS632" s="241"/>
    </row>
    <row r="633" spans="1:45" ht="14.25" customHeight="1" hidden="1">
      <c r="A633" s="232"/>
      <c r="B633" s="235"/>
      <c r="C633" s="25" t="s">
        <v>39</v>
      </c>
      <c r="D633" s="27">
        <v>42354</v>
      </c>
      <c r="E633" s="238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56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199"/>
      <c r="AO633" s="199"/>
      <c r="AP633" s="199"/>
      <c r="AQ633" s="199"/>
      <c r="AR633" s="199"/>
      <c r="AS633" s="241"/>
    </row>
    <row r="634" spans="1:45" ht="14.25" customHeight="1" hidden="1">
      <c r="A634" s="232"/>
      <c r="B634" s="235"/>
      <c r="C634" s="24" t="s">
        <v>1</v>
      </c>
      <c r="D634" s="168">
        <v>0.13666666</v>
      </c>
      <c r="E634" s="238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56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199"/>
      <c r="AO634" s="199"/>
      <c r="AP634" s="199"/>
      <c r="AQ634" s="199"/>
      <c r="AR634" s="199"/>
      <c r="AS634" s="241"/>
    </row>
    <row r="635" spans="1:45" ht="14.25" customHeight="1" hidden="1" thickBot="1">
      <c r="A635" s="233"/>
      <c r="B635" s="236"/>
      <c r="C635" s="26" t="s">
        <v>41</v>
      </c>
      <c r="D635" s="28"/>
      <c r="E635" s="239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  <c r="AA635" s="227"/>
      <c r="AB635" s="227"/>
      <c r="AC635" s="227"/>
      <c r="AD635" s="257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199"/>
      <c r="AO635" s="199"/>
      <c r="AP635" s="199"/>
      <c r="AQ635" s="199"/>
      <c r="AR635" s="199"/>
      <c r="AS635" s="241"/>
    </row>
    <row r="636" spans="1:45" ht="28.5" customHeight="1" hidden="1">
      <c r="A636" s="231" t="s">
        <v>175</v>
      </c>
      <c r="B636" s="234" t="s">
        <v>177</v>
      </c>
      <c r="C636" s="23" t="s">
        <v>40</v>
      </c>
      <c r="D636" s="118" t="s">
        <v>176</v>
      </c>
      <c r="E636" s="237"/>
      <c r="F636" s="225"/>
      <c r="G636" s="225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  <c r="U636" s="225"/>
      <c r="V636" s="225"/>
      <c r="W636" s="225"/>
      <c r="X636" s="225"/>
      <c r="Y636" s="225"/>
      <c r="Z636" s="225"/>
      <c r="AA636" s="225"/>
      <c r="AB636" s="225"/>
      <c r="AC636" s="225"/>
      <c r="AD636" s="255">
        <f>E636+F636+H636+J636+L636+N636+P636+R636+T636+V636+X636+Z636+AB636-G636-I636-K636-M636-O636-Q636-S636-U636-W636-Y636-AA636-AC636</f>
        <v>0</v>
      </c>
      <c r="AE636" s="240"/>
      <c r="AF636" s="240"/>
      <c r="AG636" s="240"/>
      <c r="AH636" s="240"/>
      <c r="AI636" s="240"/>
      <c r="AJ636" s="240"/>
      <c r="AK636" s="240">
        <f>586082.19+579279.45+499739.72+478546.58+419938.35+345893.15+297227.39+228676.72</f>
        <v>3435383.5500000003</v>
      </c>
      <c r="AL636" s="240">
        <f>174142.56+119244.54+68363.39+21135.25</f>
        <v>382885.74</v>
      </c>
      <c r="AM636" s="240"/>
      <c r="AN636" s="199"/>
      <c r="AO636" s="199"/>
      <c r="AP636" s="199"/>
      <c r="AQ636" s="199"/>
      <c r="AR636" s="199"/>
      <c r="AS636" s="241">
        <f>3974825.96-AI636-AJ636-AK636-AL636</f>
        <v>156556.6699999997</v>
      </c>
    </row>
    <row r="637" spans="1:45" ht="25.5" customHeight="1" hidden="1">
      <c r="A637" s="232"/>
      <c r="B637" s="235"/>
      <c r="C637" s="24" t="s">
        <v>0</v>
      </c>
      <c r="D637" s="83" t="s">
        <v>82</v>
      </c>
      <c r="E637" s="238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56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199"/>
      <c r="AO637" s="199"/>
      <c r="AP637" s="199"/>
      <c r="AQ637" s="199"/>
      <c r="AR637" s="199"/>
      <c r="AS637" s="241"/>
    </row>
    <row r="638" spans="1:45" ht="14.25" customHeight="1" hidden="1">
      <c r="A638" s="232"/>
      <c r="B638" s="235"/>
      <c r="C638" s="25" t="s">
        <v>36</v>
      </c>
      <c r="D638" s="20" t="s">
        <v>42</v>
      </c>
      <c r="E638" s="238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56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199"/>
      <c r="AO638" s="199"/>
      <c r="AP638" s="199"/>
      <c r="AQ638" s="199"/>
      <c r="AR638" s="199"/>
      <c r="AS638" s="241"/>
    </row>
    <row r="639" spans="1:45" ht="14.25" customHeight="1" hidden="1">
      <c r="A639" s="232"/>
      <c r="B639" s="235"/>
      <c r="C639" s="24" t="s">
        <v>37</v>
      </c>
      <c r="D639" s="85"/>
      <c r="E639" s="238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56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199"/>
      <c r="AO639" s="199"/>
      <c r="AP639" s="199"/>
      <c r="AQ639" s="199"/>
      <c r="AR639" s="199"/>
      <c r="AS639" s="241"/>
    </row>
    <row r="640" spans="1:45" ht="14.25" customHeight="1" hidden="1">
      <c r="A640" s="232"/>
      <c r="B640" s="235"/>
      <c r="C640" s="24" t="s">
        <v>38</v>
      </c>
      <c r="D640" s="21">
        <v>40000000</v>
      </c>
      <c r="E640" s="238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56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199"/>
      <c r="AO640" s="199"/>
      <c r="AP640" s="199"/>
      <c r="AQ640" s="199"/>
      <c r="AR640" s="199"/>
      <c r="AS640" s="241"/>
    </row>
    <row r="641" spans="1:45" ht="14.25" customHeight="1" hidden="1">
      <c r="A641" s="232"/>
      <c r="B641" s="235"/>
      <c r="C641" s="25" t="s">
        <v>39</v>
      </c>
      <c r="D641" s="27">
        <v>42487</v>
      </c>
      <c r="E641" s="238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56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199"/>
      <c r="AO641" s="199"/>
      <c r="AP641" s="199"/>
      <c r="AQ641" s="199"/>
      <c r="AR641" s="199"/>
      <c r="AS641" s="241"/>
    </row>
    <row r="642" spans="1:45" ht="14.25" customHeight="1" hidden="1">
      <c r="A642" s="232"/>
      <c r="B642" s="235"/>
      <c r="C642" s="24" t="s">
        <v>1</v>
      </c>
      <c r="D642" s="168">
        <v>0.191</v>
      </c>
      <c r="E642" s="238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56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199"/>
      <c r="AO642" s="199"/>
      <c r="AP642" s="199"/>
      <c r="AQ642" s="199"/>
      <c r="AR642" s="199"/>
      <c r="AS642" s="241"/>
    </row>
    <row r="643" spans="1:45" ht="14.25" customHeight="1" hidden="1" thickBot="1">
      <c r="A643" s="233"/>
      <c r="B643" s="236"/>
      <c r="C643" s="26" t="s">
        <v>41</v>
      </c>
      <c r="D643" s="28"/>
      <c r="E643" s="239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  <c r="AA643" s="227"/>
      <c r="AB643" s="227"/>
      <c r="AC643" s="227"/>
      <c r="AD643" s="257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199"/>
      <c r="AO643" s="199"/>
      <c r="AP643" s="199"/>
      <c r="AQ643" s="199"/>
      <c r="AR643" s="199"/>
      <c r="AS643" s="241"/>
    </row>
    <row r="644" spans="1:45" ht="28.5" customHeight="1" hidden="1">
      <c r="A644" s="231" t="s">
        <v>178</v>
      </c>
      <c r="B644" s="234" t="s">
        <v>181</v>
      </c>
      <c r="C644" s="23" t="s">
        <v>40</v>
      </c>
      <c r="D644" s="118" t="s">
        <v>180</v>
      </c>
      <c r="E644" s="237"/>
      <c r="F644" s="225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25"/>
      <c r="Z644" s="225"/>
      <c r="AA644" s="225"/>
      <c r="AB644" s="225"/>
      <c r="AC644" s="225"/>
      <c r="AD644" s="255">
        <f>E644+F644+H644+J644+L644+N644+P644+R644+T644+V644+X644+Z644+AB644-G644-I644-K644-M644-O644-Q644-S644-U644-W644-Y644-AA644-AC644</f>
        <v>0</v>
      </c>
      <c r="AE644" s="240"/>
      <c r="AF644" s="240"/>
      <c r="AG644" s="240"/>
      <c r="AH644" s="240"/>
      <c r="AI644" s="240"/>
      <c r="AJ644" s="240"/>
      <c r="AK644" s="258">
        <f>398514.75+329038.86+300131.04+268368.9+241283.01+206423.6+177272.86</f>
        <v>1921033.02</v>
      </c>
      <c r="AL644" s="258">
        <f>22573.73</f>
        <v>22573.73</v>
      </c>
      <c r="AM644" s="258"/>
      <c r="AN644" s="200"/>
      <c r="AO644" s="200"/>
      <c r="AP644" s="200"/>
      <c r="AQ644" s="200"/>
      <c r="AR644" s="200"/>
      <c r="AS644" s="241">
        <f>2373311.01-AI644-AJ644-AK644-AL644</f>
        <v>429704.2599999998</v>
      </c>
    </row>
    <row r="645" spans="1:45" ht="25.5" customHeight="1" hidden="1">
      <c r="A645" s="232"/>
      <c r="B645" s="235"/>
      <c r="C645" s="24" t="s">
        <v>0</v>
      </c>
      <c r="D645" s="83" t="s">
        <v>179</v>
      </c>
      <c r="E645" s="238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56"/>
      <c r="AE645" s="240"/>
      <c r="AF645" s="240"/>
      <c r="AG645" s="240"/>
      <c r="AH645" s="240"/>
      <c r="AI645" s="240"/>
      <c r="AJ645" s="240"/>
      <c r="AK645" s="258"/>
      <c r="AL645" s="258"/>
      <c r="AM645" s="258"/>
      <c r="AN645" s="200"/>
      <c r="AO645" s="200"/>
      <c r="AP645" s="200"/>
      <c r="AQ645" s="200"/>
      <c r="AR645" s="200"/>
      <c r="AS645" s="241"/>
    </row>
    <row r="646" spans="1:45" ht="14.25" customHeight="1" hidden="1">
      <c r="A646" s="232"/>
      <c r="B646" s="235"/>
      <c r="C646" s="25" t="s">
        <v>36</v>
      </c>
      <c r="D646" s="20" t="s">
        <v>42</v>
      </c>
      <c r="E646" s="238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56"/>
      <c r="AE646" s="240"/>
      <c r="AF646" s="240"/>
      <c r="AG646" s="240"/>
      <c r="AH646" s="240"/>
      <c r="AI646" s="240"/>
      <c r="AJ646" s="240"/>
      <c r="AK646" s="258"/>
      <c r="AL646" s="258"/>
      <c r="AM646" s="258"/>
      <c r="AN646" s="200"/>
      <c r="AO646" s="200"/>
      <c r="AP646" s="200"/>
      <c r="AQ646" s="200"/>
      <c r="AR646" s="200"/>
      <c r="AS646" s="241"/>
    </row>
    <row r="647" spans="1:45" ht="14.25" customHeight="1" hidden="1">
      <c r="A647" s="232"/>
      <c r="B647" s="235"/>
      <c r="C647" s="24" t="s">
        <v>37</v>
      </c>
      <c r="D647" s="85"/>
      <c r="E647" s="238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56"/>
      <c r="AE647" s="240"/>
      <c r="AF647" s="240"/>
      <c r="AG647" s="240"/>
      <c r="AH647" s="240"/>
      <c r="AI647" s="240"/>
      <c r="AJ647" s="240"/>
      <c r="AK647" s="258"/>
      <c r="AL647" s="258"/>
      <c r="AM647" s="258"/>
      <c r="AN647" s="200"/>
      <c r="AO647" s="200"/>
      <c r="AP647" s="200"/>
      <c r="AQ647" s="200"/>
      <c r="AR647" s="200"/>
      <c r="AS647" s="241"/>
    </row>
    <row r="648" spans="1:45" ht="14.25" customHeight="1" hidden="1">
      <c r="A648" s="232"/>
      <c r="B648" s="235"/>
      <c r="C648" s="24" t="s">
        <v>38</v>
      </c>
      <c r="D648" s="21">
        <v>20000000</v>
      </c>
      <c r="E648" s="238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56"/>
      <c r="AE648" s="240"/>
      <c r="AF648" s="240"/>
      <c r="AG648" s="240"/>
      <c r="AH648" s="240"/>
      <c r="AI648" s="240"/>
      <c r="AJ648" s="240"/>
      <c r="AK648" s="258"/>
      <c r="AL648" s="258"/>
      <c r="AM648" s="258"/>
      <c r="AN648" s="200"/>
      <c r="AO648" s="200"/>
      <c r="AP648" s="200"/>
      <c r="AQ648" s="200"/>
      <c r="AR648" s="200"/>
      <c r="AS648" s="241"/>
    </row>
    <row r="649" spans="1:45" ht="14.25" customHeight="1" hidden="1">
      <c r="A649" s="232"/>
      <c r="B649" s="235"/>
      <c r="C649" s="25" t="s">
        <v>39</v>
      </c>
      <c r="D649" s="27">
        <v>42517</v>
      </c>
      <c r="E649" s="238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56"/>
      <c r="AE649" s="240"/>
      <c r="AF649" s="240"/>
      <c r="AG649" s="240"/>
      <c r="AH649" s="240"/>
      <c r="AI649" s="240"/>
      <c r="AJ649" s="240"/>
      <c r="AK649" s="258"/>
      <c r="AL649" s="258"/>
      <c r="AM649" s="258"/>
      <c r="AN649" s="200"/>
      <c r="AO649" s="200"/>
      <c r="AP649" s="200"/>
      <c r="AQ649" s="200"/>
      <c r="AR649" s="200"/>
      <c r="AS649" s="241"/>
    </row>
    <row r="650" spans="1:45" ht="14.25" customHeight="1" hidden="1">
      <c r="A650" s="232"/>
      <c r="B650" s="235"/>
      <c r="C650" s="24" t="s">
        <v>1</v>
      </c>
      <c r="D650" s="168">
        <v>0.221667</v>
      </c>
      <c r="E650" s="238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56"/>
      <c r="AE650" s="240"/>
      <c r="AF650" s="240"/>
      <c r="AG650" s="240"/>
      <c r="AH650" s="240"/>
      <c r="AI650" s="240"/>
      <c r="AJ650" s="240"/>
      <c r="AK650" s="258"/>
      <c r="AL650" s="258"/>
      <c r="AM650" s="258"/>
      <c r="AN650" s="200"/>
      <c r="AO650" s="200"/>
      <c r="AP650" s="200"/>
      <c r="AQ650" s="200"/>
      <c r="AR650" s="200"/>
      <c r="AS650" s="241"/>
    </row>
    <row r="651" spans="1:45" ht="14.25" customHeight="1" hidden="1" thickBot="1">
      <c r="A651" s="233"/>
      <c r="B651" s="236"/>
      <c r="C651" s="26" t="s">
        <v>41</v>
      </c>
      <c r="D651" s="28"/>
      <c r="E651" s="239"/>
      <c r="F651" s="227"/>
      <c r="G651" s="227"/>
      <c r="H651" s="227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  <c r="AA651" s="227"/>
      <c r="AB651" s="227"/>
      <c r="AC651" s="227"/>
      <c r="AD651" s="257"/>
      <c r="AE651" s="240"/>
      <c r="AF651" s="240"/>
      <c r="AG651" s="240"/>
      <c r="AH651" s="240"/>
      <c r="AI651" s="240"/>
      <c r="AJ651" s="240"/>
      <c r="AK651" s="258"/>
      <c r="AL651" s="258"/>
      <c r="AM651" s="258"/>
      <c r="AN651" s="200"/>
      <c r="AO651" s="200"/>
      <c r="AP651" s="200"/>
      <c r="AQ651" s="200"/>
      <c r="AR651" s="200"/>
      <c r="AS651" s="241"/>
    </row>
    <row r="652" spans="1:45" ht="28.5" customHeight="1" hidden="1">
      <c r="A652" s="231" t="s">
        <v>185</v>
      </c>
      <c r="B652" s="234" t="s">
        <v>186</v>
      </c>
      <c r="C652" s="23" t="s">
        <v>40</v>
      </c>
      <c r="D652" s="118" t="s">
        <v>187</v>
      </c>
      <c r="E652" s="237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25"/>
      <c r="Z652" s="225"/>
      <c r="AA652" s="225"/>
      <c r="AB652" s="225"/>
      <c r="AC652" s="225"/>
      <c r="AD652" s="255">
        <f>E652+F652+H652+J652+L652+N652+P652+R652+T652+V652+X652+Z652+AB652-G652-I652-K652-M652-O652-Q652-S652-U652-W652-Y652-AA652-AC652</f>
        <v>0</v>
      </c>
      <c r="AE652" s="240"/>
      <c r="AF652" s="240"/>
      <c r="AG652" s="240"/>
      <c r="AH652" s="240"/>
      <c r="AI652" s="240"/>
      <c r="AJ652" s="240"/>
      <c r="AK652" s="240">
        <f>142709.37+389207.38+402180.96</f>
        <v>934097.71</v>
      </c>
      <c r="AL652" s="240">
        <f>401082.11+375205.84+401082.11+388143.98+401082.11+388143.98+401082.11+388143.98</f>
        <v>3143966.2199999997</v>
      </c>
      <c r="AM652" s="240"/>
      <c r="AN652" s="199"/>
      <c r="AO652" s="199"/>
      <c r="AP652" s="199"/>
      <c r="AQ652" s="199"/>
      <c r="AR652" s="199"/>
      <c r="AS652" s="241">
        <f>4737946-AI652-AJ652-AL652-AK652</f>
        <v>659882.0700000003</v>
      </c>
    </row>
    <row r="653" spans="1:45" ht="25.5" customHeight="1" hidden="1">
      <c r="A653" s="232"/>
      <c r="B653" s="235"/>
      <c r="C653" s="24" t="s">
        <v>0</v>
      </c>
      <c r="D653" s="83" t="s">
        <v>188</v>
      </c>
      <c r="E653" s="238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56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199"/>
      <c r="AO653" s="199"/>
      <c r="AP653" s="199"/>
      <c r="AQ653" s="199"/>
      <c r="AR653" s="199"/>
      <c r="AS653" s="241"/>
    </row>
    <row r="654" spans="1:45" ht="14.25" customHeight="1" hidden="1">
      <c r="A654" s="232"/>
      <c r="B654" s="235"/>
      <c r="C654" s="25" t="s">
        <v>36</v>
      </c>
      <c r="D654" s="20" t="s">
        <v>42</v>
      </c>
      <c r="E654" s="238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56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199"/>
      <c r="AO654" s="199"/>
      <c r="AP654" s="199"/>
      <c r="AQ654" s="199"/>
      <c r="AR654" s="199"/>
      <c r="AS654" s="241"/>
    </row>
    <row r="655" spans="1:45" ht="14.25" customHeight="1" hidden="1">
      <c r="A655" s="232"/>
      <c r="B655" s="235"/>
      <c r="C655" s="24" t="s">
        <v>37</v>
      </c>
      <c r="D655" s="85"/>
      <c r="E655" s="238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56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199"/>
      <c r="AO655" s="199"/>
      <c r="AP655" s="199"/>
      <c r="AQ655" s="199"/>
      <c r="AR655" s="199"/>
      <c r="AS655" s="241"/>
    </row>
    <row r="656" spans="1:45" ht="14.25" customHeight="1" hidden="1">
      <c r="A656" s="232"/>
      <c r="B656" s="235"/>
      <c r="C656" s="24" t="s">
        <v>38</v>
      </c>
      <c r="D656" s="21">
        <v>35000000</v>
      </c>
      <c r="E656" s="238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56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199"/>
      <c r="AO656" s="199"/>
      <c r="AP656" s="199"/>
      <c r="AQ656" s="199"/>
      <c r="AR656" s="199"/>
      <c r="AS656" s="241"/>
    </row>
    <row r="657" spans="1:45" ht="14.25" customHeight="1" hidden="1">
      <c r="A657" s="232"/>
      <c r="B657" s="235"/>
      <c r="C657" s="25" t="s">
        <v>39</v>
      </c>
      <c r="D657" s="27">
        <v>42663</v>
      </c>
      <c r="E657" s="238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56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199"/>
      <c r="AO657" s="199"/>
      <c r="AP657" s="199"/>
      <c r="AQ657" s="199"/>
      <c r="AR657" s="199"/>
      <c r="AS657" s="241"/>
    </row>
    <row r="658" spans="1:45" ht="14.25" customHeight="1" hidden="1">
      <c r="A658" s="232"/>
      <c r="B658" s="235"/>
      <c r="C658" s="24" t="s">
        <v>1</v>
      </c>
      <c r="D658" s="168">
        <v>0.1352959</v>
      </c>
      <c r="E658" s="238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56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199"/>
      <c r="AO658" s="199"/>
      <c r="AP658" s="199"/>
      <c r="AQ658" s="199"/>
      <c r="AR658" s="199"/>
      <c r="AS658" s="241"/>
    </row>
    <row r="659" spans="1:45" ht="14.25" customHeight="1" hidden="1" thickBot="1">
      <c r="A659" s="233"/>
      <c r="B659" s="236"/>
      <c r="C659" s="26" t="s">
        <v>41</v>
      </c>
      <c r="D659" s="28"/>
      <c r="E659" s="239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  <c r="AA659" s="227"/>
      <c r="AB659" s="227"/>
      <c r="AC659" s="227"/>
      <c r="AD659" s="257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199"/>
      <c r="AO659" s="199"/>
      <c r="AP659" s="199"/>
      <c r="AQ659" s="199"/>
      <c r="AR659" s="199"/>
      <c r="AS659" s="241"/>
    </row>
    <row r="660" spans="1:45" ht="28.5" customHeight="1" hidden="1">
      <c r="A660" s="231" t="s">
        <v>190</v>
      </c>
      <c r="B660" s="234" t="s">
        <v>191</v>
      </c>
      <c r="C660" s="23" t="s">
        <v>40</v>
      </c>
      <c r="D660" s="118" t="s">
        <v>189</v>
      </c>
      <c r="E660" s="237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5"/>
      <c r="Z660" s="225"/>
      <c r="AA660" s="225"/>
      <c r="AB660" s="225"/>
      <c r="AC660" s="225"/>
      <c r="AD660" s="255">
        <f>E660+F660+H660+J660+L660+N660+P660+R660+T660+V660+X660+Z660+AB660-G660-I660-K660-M660-O660-Q660-S660-U660-W660-Y660-AA660-AC660</f>
        <v>0</v>
      </c>
      <c r="AE660" s="240"/>
      <c r="AF660" s="240"/>
      <c r="AG660" s="240"/>
      <c r="AH660" s="240"/>
      <c r="AI660" s="240"/>
      <c r="AJ660" s="240"/>
      <c r="AK660" s="240">
        <f>485547.95+602079.45</f>
        <v>1087627.4</v>
      </c>
      <c r="AL660" s="240">
        <f>600434.43+561696.72+600434.43+581065.57+600434.43+581065.57+213057.38</f>
        <v>3738188.53</v>
      </c>
      <c r="AM660" s="240"/>
      <c r="AN660" s="199"/>
      <c r="AO660" s="199"/>
      <c r="AP660" s="199"/>
      <c r="AQ660" s="199"/>
      <c r="AR660" s="199"/>
      <c r="AS660" s="241">
        <f>6878310.47-AI660-AJ660-AL660-AK660</f>
        <v>2052494.54</v>
      </c>
    </row>
    <row r="661" spans="1:45" ht="25.5" customHeight="1" hidden="1">
      <c r="A661" s="232"/>
      <c r="B661" s="235"/>
      <c r="C661" s="24" t="s">
        <v>0</v>
      </c>
      <c r="D661" s="83" t="s">
        <v>179</v>
      </c>
      <c r="E661" s="238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56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199"/>
      <c r="AO661" s="199"/>
      <c r="AP661" s="199"/>
      <c r="AQ661" s="199"/>
      <c r="AR661" s="199"/>
      <c r="AS661" s="241"/>
    </row>
    <row r="662" spans="1:45" ht="14.25" customHeight="1" hidden="1">
      <c r="A662" s="232"/>
      <c r="B662" s="235"/>
      <c r="C662" s="25" t="s">
        <v>36</v>
      </c>
      <c r="D662" s="20" t="s">
        <v>42</v>
      </c>
      <c r="E662" s="238"/>
      <c r="F662" s="226"/>
      <c r="G662" s="226"/>
      <c r="H662" s="226"/>
      <c r="I662" s="226"/>
      <c r="J662" s="226"/>
      <c r="K662" s="226"/>
      <c r="L662" s="226"/>
      <c r="M662" s="226"/>
      <c r="N662" s="226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  <c r="AA662" s="226"/>
      <c r="AB662" s="226"/>
      <c r="AC662" s="226"/>
      <c r="AD662" s="256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199"/>
      <c r="AO662" s="199"/>
      <c r="AP662" s="199"/>
      <c r="AQ662" s="199"/>
      <c r="AR662" s="199"/>
      <c r="AS662" s="241"/>
    </row>
    <row r="663" spans="1:45" ht="14.25" customHeight="1" hidden="1">
      <c r="A663" s="232"/>
      <c r="B663" s="235"/>
      <c r="C663" s="24" t="s">
        <v>37</v>
      </c>
      <c r="D663" s="85"/>
      <c r="E663" s="238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  <c r="AA663" s="226"/>
      <c r="AB663" s="226"/>
      <c r="AC663" s="226"/>
      <c r="AD663" s="256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199"/>
      <c r="AO663" s="199"/>
      <c r="AP663" s="199"/>
      <c r="AQ663" s="199"/>
      <c r="AR663" s="199"/>
      <c r="AS663" s="241"/>
    </row>
    <row r="664" spans="1:45" ht="14.25" customHeight="1" hidden="1">
      <c r="A664" s="232"/>
      <c r="B664" s="235"/>
      <c r="C664" s="24" t="s">
        <v>38</v>
      </c>
      <c r="D664" s="21">
        <v>41700000</v>
      </c>
      <c r="E664" s="238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  <c r="AA664" s="226"/>
      <c r="AB664" s="226"/>
      <c r="AC664" s="226"/>
      <c r="AD664" s="256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199"/>
      <c r="AO664" s="199"/>
      <c r="AP664" s="199"/>
      <c r="AQ664" s="199"/>
      <c r="AR664" s="199"/>
      <c r="AS664" s="241"/>
    </row>
    <row r="665" spans="1:45" ht="14.25" customHeight="1" hidden="1">
      <c r="A665" s="232"/>
      <c r="B665" s="235"/>
      <c r="C665" s="25" t="s">
        <v>39</v>
      </c>
      <c r="D665" s="27">
        <v>42679</v>
      </c>
      <c r="E665" s="238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56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199"/>
      <c r="AO665" s="199"/>
      <c r="AP665" s="199"/>
      <c r="AQ665" s="199"/>
      <c r="AR665" s="199"/>
      <c r="AS665" s="241"/>
    </row>
    <row r="666" spans="1:45" ht="14.25" customHeight="1" hidden="1">
      <c r="A666" s="232"/>
      <c r="B666" s="235"/>
      <c r="C666" s="24" t="s">
        <v>1</v>
      </c>
      <c r="D666" s="168">
        <v>0.17</v>
      </c>
      <c r="E666" s="238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56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199"/>
      <c r="AO666" s="199"/>
      <c r="AP666" s="199"/>
      <c r="AQ666" s="199"/>
      <c r="AR666" s="199"/>
      <c r="AS666" s="241"/>
    </row>
    <row r="667" spans="1:45" ht="14.25" customHeight="1" hidden="1" thickBot="1">
      <c r="A667" s="233"/>
      <c r="B667" s="236"/>
      <c r="C667" s="26" t="s">
        <v>41</v>
      </c>
      <c r="D667" s="28"/>
      <c r="E667" s="239"/>
      <c r="F667" s="227"/>
      <c r="G667" s="227"/>
      <c r="H667" s="227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  <c r="AA667" s="227"/>
      <c r="AB667" s="227"/>
      <c r="AC667" s="227"/>
      <c r="AD667" s="257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199"/>
      <c r="AO667" s="199"/>
      <c r="AP667" s="199"/>
      <c r="AQ667" s="199"/>
      <c r="AR667" s="199"/>
      <c r="AS667" s="241"/>
    </row>
    <row r="668" spans="1:45" ht="28.5" customHeight="1" hidden="1">
      <c r="A668" s="231" t="s">
        <v>195</v>
      </c>
      <c r="B668" s="234" t="s">
        <v>197</v>
      </c>
      <c r="C668" s="23" t="s">
        <v>40</v>
      </c>
      <c r="D668" s="118" t="s">
        <v>196</v>
      </c>
      <c r="E668" s="237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25"/>
      <c r="Z668" s="225"/>
      <c r="AA668" s="225"/>
      <c r="AB668" s="225"/>
      <c r="AC668" s="225"/>
      <c r="AD668" s="255">
        <f>E668+F668+H668+J668+L668+N668+P668+R668+T668+V668+X668+Z668+AB668-G668-I668-K668-M668-O668-Q668-S668-U668-W668-Y668-AA668-AC668</f>
        <v>0</v>
      </c>
      <c r="AE668" s="240"/>
      <c r="AF668" s="240"/>
      <c r="AG668" s="240"/>
      <c r="AH668" s="240"/>
      <c r="AI668" s="240"/>
      <c r="AJ668" s="240"/>
      <c r="AK668" s="240">
        <f>258679.45</f>
        <v>258679.45</v>
      </c>
      <c r="AL668" s="240">
        <f>470420.77+440071.04+470420.77+455245.9+470420.77+455245.9+470420.77+455245.9</f>
        <v>3687491.82</v>
      </c>
      <c r="AM668" s="240"/>
      <c r="AN668" s="199"/>
      <c r="AO668" s="199"/>
      <c r="AP668" s="199"/>
      <c r="AQ668" s="199"/>
      <c r="AR668" s="199"/>
      <c r="AS668" s="241">
        <f>5382092.73-AI668-AJ668-AL668-AK668</f>
        <v>1435921.4600000007</v>
      </c>
    </row>
    <row r="669" spans="1:45" ht="25.5" customHeight="1" hidden="1">
      <c r="A669" s="232"/>
      <c r="B669" s="235"/>
      <c r="C669" s="24" t="s">
        <v>0</v>
      </c>
      <c r="D669" s="83" t="s">
        <v>179</v>
      </c>
      <c r="E669" s="238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56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199"/>
      <c r="AO669" s="199"/>
      <c r="AP669" s="199"/>
      <c r="AQ669" s="199"/>
      <c r="AR669" s="199"/>
      <c r="AS669" s="241"/>
    </row>
    <row r="670" spans="1:45" ht="14.25" customHeight="1" hidden="1">
      <c r="A670" s="232"/>
      <c r="B670" s="235"/>
      <c r="C670" s="25" t="s">
        <v>36</v>
      </c>
      <c r="D670" s="20" t="s">
        <v>42</v>
      </c>
      <c r="E670" s="238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56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199"/>
      <c r="AO670" s="199"/>
      <c r="AP670" s="199"/>
      <c r="AQ670" s="199"/>
      <c r="AR670" s="199"/>
      <c r="AS670" s="241"/>
    </row>
    <row r="671" spans="1:45" ht="14.25" customHeight="1" hidden="1">
      <c r="A671" s="232"/>
      <c r="B671" s="235"/>
      <c r="C671" s="24" t="s">
        <v>37</v>
      </c>
      <c r="D671" s="85"/>
      <c r="E671" s="238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56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199"/>
      <c r="AO671" s="199"/>
      <c r="AP671" s="199"/>
      <c r="AQ671" s="199"/>
      <c r="AR671" s="199"/>
      <c r="AS671" s="241"/>
    </row>
    <row r="672" spans="1:45" ht="14.25" customHeight="1" hidden="1">
      <c r="A672" s="232"/>
      <c r="B672" s="235"/>
      <c r="C672" s="24" t="s">
        <v>38</v>
      </c>
      <c r="D672" s="21">
        <v>40000000</v>
      </c>
      <c r="E672" s="238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56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199"/>
      <c r="AO672" s="199"/>
      <c r="AP672" s="199"/>
      <c r="AQ672" s="199"/>
      <c r="AR672" s="199"/>
      <c r="AS672" s="241"/>
    </row>
    <row r="673" spans="1:45" ht="14.25" customHeight="1" hidden="1">
      <c r="A673" s="232"/>
      <c r="B673" s="235"/>
      <c r="C673" s="25" t="s">
        <v>39</v>
      </c>
      <c r="D673" s="27">
        <v>42718</v>
      </c>
      <c r="E673" s="238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56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199"/>
      <c r="AO673" s="199"/>
      <c r="AP673" s="199"/>
      <c r="AQ673" s="199"/>
      <c r="AR673" s="199"/>
      <c r="AS673" s="241"/>
    </row>
    <row r="674" spans="1:45" ht="14.25" customHeight="1" hidden="1">
      <c r="A674" s="232"/>
      <c r="B674" s="235"/>
      <c r="C674" s="24" t="s">
        <v>1</v>
      </c>
      <c r="D674" s="168">
        <v>0.13885</v>
      </c>
      <c r="E674" s="238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56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199"/>
      <c r="AO674" s="199"/>
      <c r="AP674" s="199"/>
      <c r="AQ674" s="199"/>
      <c r="AR674" s="199"/>
      <c r="AS674" s="241"/>
    </row>
    <row r="675" spans="1:45" ht="14.25" customHeight="1" hidden="1" thickBot="1">
      <c r="A675" s="233"/>
      <c r="B675" s="236"/>
      <c r="C675" s="26" t="s">
        <v>41</v>
      </c>
      <c r="D675" s="28"/>
      <c r="E675" s="239"/>
      <c r="F675" s="227"/>
      <c r="G675" s="227"/>
      <c r="H675" s="227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  <c r="AA675" s="227"/>
      <c r="AB675" s="227"/>
      <c r="AC675" s="227"/>
      <c r="AD675" s="257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199"/>
      <c r="AO675" s="199"/>
      <c r="AP675" s="199"/>
      <c r="AQ675" s="199"/>
      <c r="AR675" s="199"/>
      <c r="AS675" s="241"/>
    </row>
    <row r="676" spans="1:45" ht="28.5" customHeight="1" hidden="1">
      <c r="A676" s="231" t="s">
        <v>207</v>
      </c>
      <c r="B676" s="234" t="s">
        <v>213</v>
      </c>
      <c r="C676" s="23" t="s">
        <v>40</v>
      </c>
      <c r="D676" s="118" t="s">
        <v>209</v>
      </c>
      <c r="E676" s="237">
        <v>0</v>
      </c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25"/>
      <c r="Z676" s="225"/>
      <c r="AA676" s="225"/>
      <c r="AB676" s="225"/>
      <c r="AC676" s="225"/>
      <c r="AD676" s="255">
        <f>E676+F676+H676+J676+L676+N676+P676+R676+T676+V676+X676+Z676+AB676-G676-I676-K676-M676-O676-Q676-S676-U676-W676-Y676-AA676-AC676</f>
        <v>0</v>
      </c>
      <c r="AE676" s="240"/>
      <c r="AF676" s="240"/>
      <c r="AG676" s="240"/>
      <c r="AH676" s="240"/>
      <c r="AI676" s="240"/>
      <c r="AJ676" s="240"/>
      <c r="AK676" s="240"/>
      <c r="AL676" s="240">
        <f>21837.89+169243.61+163784.14+169243.61+169243.61+163784.14+169243.61+163784.14+169243.61</f>
        <v>1359408.3599999999</v>
      </c>
      <c r="AM676" s="240">
        <f>169707.29+153284.01+169707.29+142335.15-0.06</f>
        <v>635033.68</v>
      </c>
      <c r="AN676" s="199"/>
      <c r="AO676" s="199"/>
      <c r="AP676" s="199"/>
      <c r="AQ676" s="199"/>
      <c r="AR676" s="199"/>
      <c r="AS676" s="241">
        <f>1994442.04-AL676-AM676</f>
        <v>0</v>
      </c>
    </row>
    <row r="677" spans="1:45" ht="25.5" customHeight="1" hidden="1">
      <c r="A677" s="232"/>
      <c r="B677" s="235"/>
      <c r="C677" s="24" t="s">
        <v>0</v>
      </c>
      <c r="D677" s="83" t="s">
        <v>206</v>
      </c>
      <c r="E677" s="238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56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199"/>
      <c r="AO677" s="199"/>
      <c r="AP677" s="199"/>
      <c r="AQ677" s="199"/>
      <c r="AR677" s="199"/>
      <c r="AS677" s="241"/>
    </row>
    <row r="678" spans="1:45" ht="14.25" customHeight="1" hidden="1">
      <c r="A678" s="232"/>
      <c r="B678" s="235"/>
      <c r="C678" s="25" t="s">
        <v>36</v>
      </c>
      <c r="D678" s="20" t="s">
        <v>42</v>
      </c>
      <c r="E678" s="238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56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199"/>
      <c r="AO678" s="199"/>
      <c r="AP678" s="199"/>
      <c r="AQ678" s="199"/>
      <c r="AR678" s="199"/>
      <c r="AS678" s="241"/>
    </row>
    <row r="679" spans="1:45" ht="14.25" customHeight="1" hidden="1">
      <c r="A679" s="232"/>
      <c r="B679" s="235"/>
      <c r="C679" s="24" t="s">
        <v>37</v>
      </c>
      <c r="D679" s="85"/>
      <c r="E679" s="238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56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199"/>
      <c r="AO679" s="199"/>
      <c r="AP679" s="199"/>
      <c r="AQ679" s="199"/>
      <c r="AR679" s="199"/>
      <c r="AS679" s="241"/>
    </row>
    <row r="680" spans="1:45" ht="14.25" customHeight="1" hidden="1">
      <c r="A680" s="232"/>
      <c r="B680" s="235"/>
      <c r="C680" s="24" t="s">
        <v>38</v>
      </c>
      <c r="D680" s="21">
        <v>15000000</v>
      </c>
      <c r="E680" s="238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56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199"/>
      <c r="AO680" s="199"/>
      <c r="AP680" s="199"/>
      <c r="AQ680" s="199"/>
      <c r="AR680" s="199"/>
      <c r="AS680" s="241"/>
    </row>
    <row r="681" spans="1:45" ht="14.25" customHeight="1" hidden="1">
      <c r="A681" s="232"/>
      <c r="B681" s="235"/>
      <c r="C681" s="25" t="s">
        <v>39</v>
      </c>
      <c r="D681" s="27">
        <v>42851</v>
      </c>
      <c r="E681" s="238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56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199"/>
      <c r="AO681" s="199"/>
      <c r="AP681" s="199"/>
      <c r="AQ681" s="199"/>
      <c r="AR681" s="199"/>
      <c r="AS681" s="241"/>
    </row>
    <row r="682" spans="1:45" ht="14.25" customHeight="1" hidden="1">
      <c r="A682" s="232"/>
      <c r="B682" s="235"/>
      <c r="C682" s="24" t="s">
        <v>1</v>
      </c>
      <c r="D682" s="168">
        <v>0.1332111</v>
      </c>
      <c r="E682" s="238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56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199"/>
      <c r="AO682" s="199"/>
      <c r="AP682" s="199"/>
      <c r="AQ682" s="199"/>
      <c r="AR682" s="199"/>
      <c r="AS682" s="241"/>
    </row>
    <row r="683" spans="1:45" ht="14.25" customHeight="1" hidden="1" thickBot="1">
      <c r="A683" s="233"/>
      <c r="B683" s="236"/>
      <c r="C683" s="26" t="s">
        <v>41</v>
      </c>
      <c r="D683" s="28"/>
      <c r="E683" s="239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  <c r="AA683" s="227"/>
      <c r="AB683" s="227"/>
      <c r="AC683" s="227"/>
      <c r="AD683" s="257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199"/>
      <c r="AO683" s="199"/>
      <c r="AP683" s="199"/>
      <c r="AQ683" s="199"/>
      <c r="AR683" s="199"/>
      <c r="AS683" s="241"/>
    </row>
    <row r="684" spans="1:45" ht="28.5" customHeight="1" hidden="1">
      <c r="A684" s="231" t="s">
        <v>210</v>
      </c>
      <c r="B684" s="234" t="s">
        <v>212</v>
      </c>
      <c r="C684" s="23" t="s">
        <v>40</v>
      </c>
      <c r="D684" s="118" t="s">
        <v>211</v>
      </c>
      <c r="E684" s="237">
        <v>0</v>
      </c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25"/>
      <c r="Z684" s="225"/>
      <c r="AA684" s="225"/>
      <c r="AB684" s="225"/>
      <c r="AC684" s="225"/>
      <c r="AD684" s="255">
        <f>E684+F684+H684+J684+L684+N684+P684+R684+T684+V684+X684+Z684+AB684-G684-I684-K684-M684-O684-Q684-S684-U684-W684-Y684-AA684-AC684</f>
        <v>0</v>
      </c>
      <c r="AE684" s="240"/>
      <c r="AF684" s="240"/>
      <c r="AG684" s="240"/>
      <c r="AH684" s="240"/>
      <c r="AI684" s="240"/>
      <c r="AJ684" s="240"/>
      <c r="AK684" s="240"/>
      <c r="AL684" s="240">
        <f>423836.07+547454.92+529795.08+547454.92+529795.08+547454.92</f>
        <v>3125790.9899999998</v>
      </c>
      <c r="AM684" s="240">
        <f>548954.79+495830.14+548954.79+531246.58+548954.79+531246.58+88541.1</f>
        <v>3293728.7700000005</v>
      </c>
      <c r="AN684" s="199"/>
      <c r="AO684" s="199"/>
      <c r="AP684" s="199"/>
      <c r="AQ684" s="199"/>
      <c r="AR684" s="199"/>
      <c r="AS684" s="241">
        <f>6454936.19-AL684-AM684</f>
        <v>35416.43000000017</v>
      </c>
    </row>
    <row r="685" spans="1:45" ht="25.5" customHeight="1" hidden="1">
      <c r="A685" s="232"/>
      <c r="B685" s="235"/>
      <c r="C685" s="24" t="s">
        <v>0</v>
      </c>
      <c r="D685" s="83" t="s">
        <v>179</v>
      </c>
      <c r="E685" s="238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56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199"/>
      <c r="AO685" s="199"/>
      <c r="AP685" s="199"/>
      <c r="AQ685" s="199"/>
      <c r="AR685" s="199"/>
      <c r="AS685" s="241"/>
    </row>
    <row r="686" spans="1:45" ht="14.25" customHeight="1" hidden="1">
      <c r="A686" s="232"/>
      <c r="B686" s="235"/>
      <c r="C686" s="25" t="s">
        <v>36</v>
      </c>
      <c r="D686" s="20" t="s">
        <v>42</v>
      </c>
      <c r="E686" s="238"/>
      <c r="F686" s="226"/>
      <c r="G686" s="226"/>
      <c r="H686" s="226"/>
      <c r="I686" s="226"/>
      <c r="J686" s="226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  <c r="AA686" s="226"/>
      <c r="AB686" s="226"/>
      <c r="AC686" s="226"/>
      <c r="AD686" s="256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199"/>
      <c r="AO686" s="199"/>
      <c r="AP686" s="199"/>
      <c r="AQ686" s="199"/>
      <c r="AR686" s="199"/>
      <c r="AS686" s="241"/>
    </row>
    <row r="687" spans="1:45" ht="14.25" customHeight="1" hidden="1">
      <c r="A687" s="232"/>
      <c r="B687" s="235"/>
      <c r="C687" s="24" t="s">
        <v>37</v>
      </c>
      <c r="D687" s="85"/>
      <c r="E687" s="238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  <c r="AA687" s="226"/>
      <c r="AB687" s="226"/>
      <c r="AC687" s="226"/>
      <c r="AD687" s="256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199"/>
      <c r="AO687" s="199"/>
      <c r="AP687" s="199"/>
      <c r="AQ687" s="199"/>
      <c r="AR687" s="199"/>
      <c r="AS687" s="241"/>
    </row>
    <row r="688" spans="1:45" ht="14.25" customHeight="1" hidden="1">
      <c r="A688" s="232"/>
      <c r="B688" s="235"/>
      <c r="C688" s="24" t="s">
        <v>38</v>
      </c>
      <c r="D688" s="21">
        <v>41700000</v>
      </c>
      <c r="E688" s="238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256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199"/>
      <c r="AO688" s="199"/>
      <c r="AP688" s="199"/>
      <c r="AQ688" s="199"/>
      <c r="AR688" s="199"/>
      <c r="AS688" s="241"/>
    </row>
    <row r="689" spans="1:45" ht="14.25" customHeight="1" hidden="1">
      <c r="A689" s="232"/>
      <c r="B689" s="235"/>
      <c r="C689" s="25" t="s">
        <v>39</v>
      </c>
      <c r="D689" s="27">
        <v>42923</v>
      </c>
      <c r="E689" s="238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56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199"/>
      <c r="AO689" s="199"/>
      <c r="AP689" s="199"/>
      <c r="AQ689" s="199"/>
      <c r="AR689" s="199"/>
      <c r="AS689" s="241"/>
    </row>
    <row r="690" spans="1:45" ht="14.25" customHeight="1" hidden="1">
      <c r="A690" s="232"/>
      <c r="B690" s="235"/>
      <c r="C690" s="24" t="s">
        <v>1</v>
      </c>
      <c r="D690" s="168">
        <v>0.155</v>
      </c>
      <c r="E690" s="238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56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199"/>
      <c r="AO690" s="199"/>
      <c r="AP690" s="199"/>
      <c r="AQ690" s="199"/>
      <c r="AR690" s="199"/>
      <c r="AS690" s="241"/>
    </row>
    <row r="691" spans="1:45" ht="14.25" customHeight="1" hidden="1" thickBot="1">
      <c r="A691" s="233"/>
      <c r="B691" s="236"/>
      <c r="C691" s="26" t="s">
        <v>41</v>
      </c>
      <c r="D691" s="28"/>
      <c r="E691" s="239"/>
      <c r="F691" s="227"/>
      <c r="G691" s="227"/>
      <c r="H691" s="227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  <c r="AA691" s="227"/>
      <c r="AB691" s="227"/>
      <c r="AC691" s="227"/>
      <c r="AD691" s="257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199"/>
      <c r="AO691" s="199"/>
      <c r="AP691" s="199"/>
      <c r="AQ691" s="199"/>
      <c r="AR691" s="199"/>
      <c r="AS691" s="241"/>
    </row>
    <row r="692" spans="1:45" ht="28.5" customHeight="1" hidden="1">
      <c r="A692" s="231" t="s">
        <v>215</v>
      </c>
      <c r="B692" s="234" t="s">
        <v>216</v>
      </c>
      <c r="C692" s="23" t="s">
        <v>40</v>
      </c>
      <c r="D692" s="118" t="s">
        <v>214</v>
      </c>
      <c r="E692" s="237">
        <v>0</v>
      </c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25"/>
      <c r="Z692" s="225"/>
      <c r="AA692" s="225"/>
      <c r="AB692" s="225"/>
      <c r="AC692" s="225"/>
      <c r="AD692" s="255">
        <f>E692+F692+H692+J692+L692+N692+P692+R692+T692+V692+X692+Z692+AB692-G692-I692-K692-M692-O692-Q692-S692-U692-W692-Y692-AA692-AC692</f>
        <v>0</v>
      </c>
      <c r="AE692" s="240"/>
      <c r="AF692" s="240"/>
      <c r="AG692" s="240"/>
      <c r="AH692" s="240"/>
      <c r="AI692" s="240"/>
      <c r="AJ692" s="240"/>
      <c r="AK692" s="240"/>
      <c r="AL692" s="240">
        <f>56015.7+840235.45+868243.3+840235.45+868243.3</f>
        <v>3472973.2</v>
      </c>
      <c r="AM692" s="240">
        <f>870622.05+786368.3+870622.05+840290.7+790487.37+707731.46+639205.09+1872.31+292079.65</f>
        <v>5799278.98</v>
      </c>
      <c r="AN692" s="199"/>
      <c r="AO692" s="199"/>
      <c r="AP692" s="199"/>
      <c r="AQ692" s="199"/>
      <c r="AR692" s="199"/>
      <c r="AS692" s="241">
        <f>9599531.19-AL692-AM692</f>
        <v>327279.00999999885</v>
      </c>
    </row>
    <row r="693" spans="1:45" ht="25.5" customHeight="1" hidden="1">
      <c r="A693" s="232"/>
      <c r="B693" s="235"/>
      <c r="C693" s="24" t="s">
        <v>0</v>
      </c>
      <c r="D693" s="83" t="s">
        <v>179</v>
      </c>
      <c r="E693" s="238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56"/>
      <c r="AE693" s="240"/>
      <c r="AF693" s="240"/>
      <c r="AG693" s="240"/>
      <c r="AH693" s="240"/>
      <c r="AI693" s="240"/>
      <c r="AJ693" s="240"/>
      <c r="AK693" s="240"/>
      <c r="AL693" s="240"/>
      <c r="AM693" s="240"/>
      <c r="AN693" s="199"/>
      <c r="AO693" s="199"/>
      <c r="AP693" s="199"/>
      <c r="AQ693" s="199"/>
      <c r="AR693" s="199"/>
      <c r="AS693" s="241"/>
    </row>
    <row r="694" spans="1:45" ht="14.25" customHeight="1" hidden="1">
      <c r="A694" s="232"/>
      <c r="B694" s="235"/>
      <c r="C694" s="25" t="s">
        <v>36</v>
      </c>
      <c r="D694" s="20" t="s">
        <v>42</v>
      </c>
      <c r="E694" s="238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56"/>
      <c r="AE694" s="240"/>
      <c r="AF694" s="240"/>
      <c r="AG694" s="240"/>
      <c r="AH694" s="240"/>
      <c r="AI694" s="240"/>
      <c r="AJ694" s="240"/>
      <c r="AK694" s="240"/>
      <c r="AL694" s="240"/>
      <c r="AM694" s="240"/>
      <c r="AN694" s="199"/>
      <c r="AO694" s="199"/>
      <c r="AP694" s="199"/>
      <c r="AQ694" s="199"/>
      <c r="AR694" s="199"/>
      <c r="AS694" s="241"/>
    </row>
    <row r="695" spans="1:45" ht="14.25" customHeight="1" hidden="1">
      <c r="A695" s="232"/>
      <c r="B695" s="235"/>
      <c r="C695" s="24" t="s">
        <v>37</v>
      </c>
      <c r="D695" s="85"/>
      <c r="E695" s="238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56"/>
      <c r="AE695" s="240"/>
      <c r="AF695" s="240"/>
      <c r="AG695" s="240"/>
      <c r="AH695" s="240"/>
      <c r="AI695" s="240"/>
      <c r="AJ695" s="240"/>
      <c r="AK695" s="240"/>
      <c r="AL695" s="240"/>
      <c r="AM695" s="240"/>
      <c r="AN695" s="199"/>
      <c r="AO695" s="199"/>
      <c r="AP695" s="199"/>
      <c r="AQ695" s="199"/>
      <c r="AR695" s="199"/>
      <c r="AS695" s="241"/>
    </row>
    <row r="696" spans="1:45" ht="14.25" customHeight="1" hidden="1">
      <c r="A696" s="232"/>
      <c r="B696" s="235"/>
      <c r="C696" s="24" t="s">
        <v>38</v>
      </c>
      <c r="D696" s="21">
        <v>75000000</v>
      </c>
      <c r="E696" s="238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56"/>
      <c r="AE696" s="240"/>
      <c r="AF696" s="240"/>
      <c r="AG696" s="240"/>
      <c r="AH696" s="240"/>
      <c r="AI696" s="240"/>
      <c r="AJ696" s="240"/>
      <c r="AK696" s="240"/>
      <c r="AL696" s="240"/>
      <c r="AM696" s="240"/>
      <c r="AN696" s="199"/>
      <c r="AO696" s="199"/>
      <c r="AP696" s="199"/>
      <c r="AQ696" s="199"/>
      <c r="AR696" s="199"/>
      <c r="AS696" s="241"/>
    </row>
    <row r="697" spans="1:45" ht="14.25" customHeight="1" hidden="1">
      <c r="A697" s="232"/>
      <c r="B697" s="235"/>
      <c r="C697" s="25" t="s">
        <v>39</v>
      </c>
      <c r="D697" s="27">
        <v>42976</v>
      </c>
      <c r="E697" s="238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56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199"/>
      <c r="AO697" s="199"/>
      <c r="AP697" s="199"/>
      <c r="AQ697" s="199"/>
      <c r="AR697" s="199"/>
      <c r="AS697" s="241"/>
    </row>
    <row r="698" spans="1:45" ht="14.25" customHeight="1" hidden="1">
      <c r="A698" s="232"/>
      <c r="B698" s="235"/>
      <c r="C698" s="24" t="s">
        <v>1</v>
      </c>
      <c r="D698" s="168">
        <v>0.1366783</v>
      </c>
      <c r="E698" s="238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56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199"/>
      <c r="AO698" s="199"/>
      <c r="AP698" s="199"/>
      <c r="AQ698" s="199"/>
      <c r="AR698" s="199"/>
      <c r="AS698" s="241"/>
    </row>
    <row r="699" spans="1:45" ht="14.25" customHeight="1" hidden="1" thickBot="1">
      <c r="A699" s="233"/>
      <c r="B699" s="236"/>
      <c r="C699" s="26" t="s">
        <v>41</v>
      </c>
      <c r="D699" s="28"/>
      <c r="E699" s="239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  <c r="AA699" s="227"/>
      <c r="AB699" s="227"/>
      <c r="AC699" s="227"/>
      <c r="AD699" s="257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199"/>
      <c r="AO699" s="199"/>
      <c r="AP699" s="199"/>
      <c r="AQ699" s="199"/>
      <c r="AR699" s="199"/>
      <c r="AS699" s="241"/>
    </row>
    <row r="700" spans="1:45" ht="28.5" customHeight="1" hidden="1">
      <c r="A700" s="231" t="s">
        <v>223</v>
      </c>
      <c r="B700" s="234" t="s">
        <v>224</v>
      </c>
      <c r="C700" s="23" t="s">
        <v>40</v>
      </c>
      <c r="D700" s="118" t="s">
        <v>227</v>
      </c>
      <c r="E700" s="237">
        <v>0</v>
      </c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25"/>
      <c r="Z700" s="225"/>
      <c r="AA700" s="225"/>
      <c r="AB700" s="225"/>
      <c r="AC700" s="225"/>
      <c r="AD700" s="255">
        <f>E700+F700+H700+J700+L700+N700+P700+R700+T700+V700+X700+Z700+AB700-G700-I700-K700-M700-O700-Q700-S700-U700-W700-Y700-AA700-AC700</f>
        <v>0</v>
      </c>
      <c r="AE700" s="240"/>
      <c r="AF700" s="240"/>
      <c r="AG700" s="240"/>
      <c r="AH700" s="240"/>
      <c r="AI700" s="240"/>
      <c r="AJ700" s="240"/>
      <c r="AK700" s="240"/>
      <c r="AL700" s="240">
        <f>82260.35</f>
        <v>82260.35</v>
      </c>
      <c r="AM700" s="240">
        <f>255705.74+230960.02+255705.74+247457.17+255705.74+247457.17+255705.74+255705.74+173220.02+11600.6+34215.94+26997.6-2714.25</f>
        <v>2247722.97</v>
      </c>
      <c r="AN700" s="199"/>
      <c r="AO700" s="199"/>
      <c r="AP700" s="199"/>
      <c r="AQ700" s="199"/>
      <c r="AR700" s="199"/>
      <c r="AS700" s="241">
        <f>2952763.5-AL700-AM700</f>
        <v>622780.1799999997</v>
      </c>
    </row>
    <row r="701" spans="1:45" ht="25.5" customHeight="1" hidden="1">
      <c r="A701" s="232"/>
      <c r="B701" s="235"/>
      <c r="C701" s="24" t="s">
        <v>0</v>
      </c>
      <c r="D701" s="83" t="s">
        <v>179</v>
      </c>
      <c r="E701" s="238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56"/>
      <c r="AE701" s="240"/>
      <c r="AF701" s="240"/>
      <c r="AG701" s="240"/>
      <c r="AH701" s="240"/>
      <c r="AI701" s="240"/>
      <c r="AJ701" s="240"/>
      <c r="AK701" s="240"/>
      <c r="AL701" s="240"/>
      <c r="AM701" s="240"/>
      <c r="AN701" s="199"/>
      <c r="AO701" s="199"/>
      <c r="AP701" s="199"/>
      <c r="AQ701" s="199"/>
      <c r="AR701" s="199"/>
      <c r="AS701" s="241"/>
    </row>
    <row r="702" spans="1:45" ht="14.25" customHeight="1" hidden="1">
      <c r="A702" s="232"/>
      <c r="B702" s="235"/>
      <c r="C702" s="25" t="s">
        <v>36</v>
      </c>
      <c r="D702" s="20" t="s">
        <v>42</v>
      </c>
      <c r="E702" s="238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56"/>
      <c r="AE702" s="240"/>
      <c r="AF702" s="240"/>
      <c r="AG702" s="240"/>
      <c r="AH702" s="240"/>
      <c r="AI702" s="240"/>
      <c r="AJ702" s="240"/>
      <c r="AK702" s="240"/>
      <c r="AL702" s="240"/>
      <c r="AM702" s="240"/>
      <c r="AN702" s="199"/>
      <c r="AO702" s="199"/>
      <c r="AP702" s="199"/>
      <c r="AQ702" s="199"/>
      <c r="AR702" s="199"/>
      <c r="AS702" s="241"/>
    </row>
    <row r="703" spans="1:45" ht="14.25" customHeight="1" hidden="1">
      <c r="A703" s="232"/>
      <c r="B703" s="235"/>
      <c r="C703" s="24" t="s">
        <v>37</v>
      </c>
      <c r="D703" s="85"/>
      <c r="E703" s="238"/>
      <c r="F703" s="226"/>
      <c r="G703" s="226"/>
      <c r="H703" s="226"/>
      <c r="I703" s="226"/>
      <c r="J703" s="226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56"/>
      <c r="AE703" s="240"/>
      <c r="AF703" s="240"/>
      <c r="AG703" s="240"/>
      <c r="AH703" s="240"/>
      <c r="AI703" s="240"/>
      <c r="AJ703" s="240"/>
      <c r="AK703" s="240"/>
      <c r="AL703" s="240"/>
      <c r="AM703" s="240"/>
      <c r="AN703" s="199"/>
      <c r="AO703" s="199"/>
      <c r="AP703" s="199"/>
      <c r="AQ703" s="199"/>
      <c r="AR703" s="199"/>
      <c r="AS703" s="241"/>
    </row>
    <row r="704" spans="1:45" ht="14.25" customHeight="1" hidden="1">
      <c r="A704" s="232"/>
      <c r="B704" s="235"/>
      <c r="C704" s="24" t="s">
        <v>38</v>
      </c>
      <c r="D704" s="21">
        <v>23704100</v>
      </c>
      <c r="E704" s="238"/>
      <c r="F704" s="226"/>
      <c r="G704" s="226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56"/>
      <c r="AE704" s="240"/>
      <c r="AF704" s="240"/>
      <c r="AG704" s="240"/>
      <c r="AH704" s="240"/>
      <c r="AI704" s="240"/>
      <c r="AJ704" s="240"/>
      <c r="AK704" s="240"/>
      <c r="AL704" s="240"/>
      <c r="AM704" s="240"/>
      <c r="AN704" s="199"/>
      <c r="AO704" s="199"/>
      <c r="AP704" s="199"/>
      <c r="AQ704" s="199"/>
      <c r="AR704" s="199"/>
      <c r="AS704" s="241"/>
    </row>
    <row r="705" spans="1:45" ht="14.25" customHeight="1" hidden="1">
      <c r="A705" s="232"/>
      <c r="B705" s="235"/>
      <c r="C705" s="25" t="s">
        <v>39</v>
      </c>
      <c r="D705" s="27">
        <v>43083</v>
      </c>
      <c r="E705" s="238"/>
      <c r="F705" s="226"/>
      <c r="G705" s="226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56"/>
      <c r="AE705" s="240"/>
      <c r="AF705" s="240"/>
      <c r="AG705" s="240"/>
      <c r="AH705" s="240"/>
      <c r="AI705" s="240"/>
      <c r="AJ705" s="240"/>
      <c r="AK705" s="240"/>
      <c r="AL705" s="240"/>
      <c r="AM705" s="240"/>
      <c r="AN705" s="199"/>
      <c r="AO705" s="199"/>
      <c r="AP705" s="199"/>
      <c r="AQ705" s="199"/>
      <c r="AR705" s="199"/>
      <c r="AS705" s="241"/>
    </row>
    <row r="706" spans="1:45" ht="14.25" customHeight="1" hidden="1">
      <c r="A706" s="232"/>
      <c r="B706" s="235"/>
      <c r="C706" s="24" t="s">
        <v>1</v>
      </c>
      <c r="D706" s="168">
        <v>0.127013</v>
      </c>
      <c r="E706" s="238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56"/>
      <c r="AE706" s="240"/>
      <c r="AF706" s="240"/>
      <c r="AG706" s="240"/>
      <c r="AH706" s="240"/>
      <c r="AI706" s="240"/>
      <c r="AJ706" s="240"/>
      <c r="AK706" s="240"/>
      <c r="AL706" s="240"/>
      <c r="AM706" s="240"/>
      <c r="AN706" s="199"/>
      <c r="AO706" s="199"/>
      <c r="AP706" s="199"/>
      <c r="AQ706" s="199"/>
      <c r="AR706" s="199"/>
      <c r="AS706" s="241"/>
    </row>
    <row r="707" spans="1:45" ht="14.25" customHeight="1" hidden="1" thickBot="1">
      <c r="A707" s="233"/>
      <c r="B707" s="236"/>
      <c r="C707" s="26" t="s">
        <v>41</v>
      </c>
      <c r="D707" s="28"/>
      <c r="E707" s="239"/>
      <c r="F707" s="227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  <c r="AA707" s="227"/>
      <c r="AB707" s="227"/>
      <c r="AC707" s="227"/>
      <c r="AD707" s="257"/>
      <c r="AE707" s="240"/>
      <c r="AF707" s="240"/>
      <c r="AG707" s="240"/>
      <c r="AH707" s="240"/>
      <c r="AI707" s="240"/>
      <c r="AJ707" s="240"/>
      <c r="AK707" s="240"/>
      <c r="AL707" s="240"/>
      <c r="AM707" s="240"/>
      <c r="AN707" s="199"/>
      <c r="AO707" s="199"/>
      <c r="AP707" s="199"/>
      <c r="AQ707" s="199"/>
      <c r="AR707" s="199"/>
      <c r="AS707" s="241"/>
    </row>
    <row r="708" spans="1:45" ht="28.5" customHeight="1" hidden="1">
      <c r="A708" s="231" t="s">
        <v>229</v>
      </c>
      <c r="B708" s="234" t="s">
        <v>230</v>
      </c>
      <c r="C708" s="23" t="s">
        <v>40</v>
      </c>
      <c r="D708" s="118" t="s">
        <v>231</v>
      </c>
      <c r="E708" s="250">
        <v>0</v>
      </c>
      <c r="F708" s="225"/>
      <c r="G708" s="225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  <c r="U708" s="225"/>
      <c r="V708" s="225"/>
      <c r="W708" s="225"/>
      <c r="X708" s="225"/>
      <c r="Y708" s="225"/>
      <c r="Z708" s="225"/>
      <c r="AA708" s="225"/>
      <c r="AB708" s="225"/>
      <c r="AC708" s="225"/>
      <c r="AD708" s="228">
        <f>E708+F708+H708+J708+L708+N708+P708+R708+T708+V708+X708+Z708+AB708-G708-I708-K708-M708-O708-Q708-S708-U708-W708-Y708-AA708-AC708</f>
        <v>0</v>
      </c>
      <c r="AE708" s="246"/>
      <c r="AF708" s="240"/>
      <c r="AG708" s="240"/>
      <c r="AH708" s="240"/>
      <c r="AI708" s="240"/>
      <c r="AJ708" s="240"/>
      <c r="AK708" s="240"/>
      <c r="AL708" s="240"/>
      <c r="AM708" s="240">
        <f>38904.66+201007.4+194523.29+201007.4+201007.4+194523.29+201007.4+194523.29+201007.4</f>
        <v>1627511.53</v>
      </c>
      <c r="AN708" s="240">
        <f>201007.4+181555.07+201007.4+103745.75</f>
        <v>687315.62</v>
      </c>
      <c r="AO708" s="240"/>
      <c r="AP708" s="240"/>
      <c r="AQ708" s="240"/>
      <c r="AR708" s="240"/>
      <c r="AS708" s="241">
        <f>2366700-AL708-AM708-AN708</f>
        <v>51872.84999999998</v>
      </c>
    </row>
    <row r="709" spans="1:45" ht="25.5" customHeight="1" hidden="1">
      <c r="A709" s="232"/>
      <c r="B709" s="235"/>
      <c r="C709" s="24" t="s">
        <v>0</v>
      </c>
      <c r="D709" s="83" t="s">
        <v>179</v>
      </c>
      <c r="E709" s="251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9"/>
      <c r="AE709" s="246"/>
      <c r="AF709" s="240"/>
      <c r="AG709" s="240"/>
      <c r="AH709" s="240"/>
      <c r="AI709" s="240"/>
      <c r="AJ709" s="240"/>
      <c r="AK709" s="240"/>
      <c r="AL709" s="240"/>
      <c r="AM709" s="240"/>
      <c r="AN709" s="240"/>
      <c r="AO709" s="240"/>
      <c r="AP709" s="240"/>
      <c r="AQ709" s="240"/>
      <c r="AR709" s="240"/>
      <c r="AS709" s="241"/>
    </row>
    <row r="710" spans="1:45" ht="14.25" customHeight="1" hidden="1">
      <c r="A710" s="232"/>
      <c r="B710" s="235"/>
      <c r="C710" s="25" t="s">
        <v>36</v>
      </c>
      <c r="D710" s="20" t="s">
        <v>42</v>
      </c>
      <c r="E710" s="251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9"/>
      <c r="AE710" s="246"/>
      <c r="AF710" s="240"/>
      <c r="AG710" s="240"/>
      <c r="AH710" s="240"/>
      <c r="AI710" s="240"/>
      <c r="AJ710" s="240"/>
      <c r="AK710" s="240"/>
      <c r="AL710" s="240"/>
      <c r="AM710" s="240"/>
      <c r="AN710" s="240"/>
      <c r="AO710" s="240"/>
      <c r="AP710" s="240"/>
      <c r="AQ710" s="240"/>
      <c r="AR710" s="240"/>
      <c r="AS710" s="241"/>
    </row>
    <row r="711" spans="1:45" ht="14.25" customHeight="1" hidden="1">
      <c r="A711" s="232"/>
      <c r="B711" s="235"/>
      <c r="C711" s="24" t="s">
        <v>37</v>
      </c>
      <c r="D711" s="85"/>
      <c r="E711" s="251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9"/>
      <c r="AE711" s="246"/>
      <c r="AF711" s="240"/>
      <c r="AG711" s="240"/>
      <c r="AH711" s="240"/>
      <c r="AI711" s="240"/>
      <c r="AJ711" s="240"/>
      <c r="AK711" s="240"/>
      <c r="AL711" s="240"/>
      <c r="AM711" s="240"/>
      <c r="AN711" s="240"/>
      <c r="AO711" s="240"/>
      <c r="AP711" s="240"/>
      <c r="AQ711" s="240"/>
      <c r="AR711" s="240"/>
      <c r="AS711" s="241"/>
    </row>
    <row r="712" spans="1:45" ht="14.25" customHeight="1" hidden="1">
      <c r="A712" s="232"/>
      <c r="B712" s="235"/>
      <c r="C712" s="24" t="s">
        <v>38</v>
      </c>
      <c r="D712" s="21">
        <v>21000000</v>
      </c>
      <c r="E712" s="251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  <c r="AA712" s="226"/>
      <c r="AB712" s="226"/>
      <c r="AC712" s="226"/>
      <c r="AD712" s="229"/>
      <c r="AE712" s="246"/>
      <c r="AF712" s="240"/>
      <c r="AG712" s="240"/>
      <c r="AH712" s="240"/>
      <c r="AI712" s="240"/>
      <c r="AJ712" s="240"/>
      <c r="AK712" s="240"/>
      <c r="AL712" s="240"/>
      <c r="AM712" s="240"/>
      <c r="AN712" s="240"/>
      <c r="AO712" s="240"/>
      <c r="AP712" s="240"/>
      <c r="AQ712" s="240"/>
      <c r="AR712" s="240"/>
      <c r="AS712" s="241"/>
    </row>
    <row r="713" spans="1:45" ht="14.25" customHeight="1" hidden="1">
      <c r="A713" s="232"/>
      <c r="B713" s="235"/>
      <c r="C713" s="25" t="s">
        <v>39</v>
      </c>
      <c r="D713" s="32">
        <v>43214</v>
      </c>
      <c r="E713" s="251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  <c r="AA713" s="226"/>
      <c r="AB713" s="226"/>
      <c r="AC713" s="226"/>
      <c r="AD713" s="229"/>
      <c r="AE713" s="246"/>
      <c r="AF713" s="240"/>
      <c r="AG713" s="240"/>
      <c r="AH713" s="240"/>
      <c r="AI713" s="240"/>
      <c r="AJ713" s="240"/>
      <c r="AK713" s="240"/>
      <c r="AL713" s="240"/>
      <c r="AM713" s="240"/>
      <c r="AN713" s="240"/>
      <c r="AO713" s="240"/>
      <c r="AP713" s="240"/>
      <c r="AQ713" s="240"/>
      <c r="AR713" s="240"/>
      <c r="AS713" s="241"/>
    </row>
    <row r="714" spans="1:45" ht="14.25" customHeight="1" hidden="1">
      <c r="A714" s="232"/>
      <c r="B714" s="235"/>
      <c r="C714" s="24" t="s">
        <v>1</v>
      </c>
      <c r="D714" s="168">
        <v>0.1127</v>
      </c>
      <c r="E714" s="251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  <c r="AA714" s="226"/>
      <c r="AB714" s="226"/>
      <c r="AC714" s="226"/>
      <c r="AD714" s="229"/>
      <c r="AE714" s="246"/>
      <c r="AF714" s="240"/>
      <c r="AG714" s="240"/>
      <c r="AH714" s="240"/>
      <c r="AI714" s="240"/>
      <c r="AJ714" s="240"/>
      <c r="AK714" s="240"/>
      <c r="AL714" s="240"/>
      <c r="AM714" s="240"/>
      <c r="AN714" s="240"/>
      <c r="AO714" s="240"/>
      <c r="AP714" s="240"/>
      <c r="AQ714" s="240"/>
      <c r="AR714" s="240"/>
      <c r="AS714" s="241"/>
    </row>
    <row r="715" spans="1:45" ht="14.25" customHeight="1" hidden="1" thickBot="1">
      <c r="A715" s="233"/>
      <c r="B715" s="236"/>
      <c r="C715" s="26" t="s">
        <v>41</v>
      </c>
      <c r="D715" s="28"/>
      <c r="E715" s="252"/>
      <c r="F715" s="227"/>
      <c r="G715" s="227"/>
      <c r="H715" s="227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  <c r="AA715" s="227"/>
      <c r="AB715" s="227"/>
      <c r="AC715" s="227"/>
      <c r="AD715" s="230"/>
      <c r="AE715" s="246"/>
      <c r="AF715" s="240"/>
      <c r="AG715" s="240"/>
      <c r="AH715" s="240"/>
      <c r="AI715" s="240"/>
      <c r="AJ715" s="240"/>
      <c r="AK715" s="240"/>
      <c r="AL715" s="240"/>
      <c r="AM715" s="240"/>
      <c r="AN715" s="240"/>
      <c r="AO715" s="240"/>
      <c r="AP715" s="240"/>
      <c r="AQ715" s="240"/>
      <c r="AR715" s="240"/>
      <c r="AS715" s="241"/>
    </row>
    <row r="716" spans="1:45" ht="28.5" customHeight="1" hidden="1">
      <c r="A716" s="231" t="s">
        <v>232</v>
      </c>
      <c r="B716" s="234" t="s">
        <v>234</v>
      </c>
      <c r="C716" s="23" t="s">
        <v>40</v>
      </c>
      <c r="D716" s="118" t="s">
        <v>233</v>
      </c>
      <c r="E716" s="250">
        <v>0</v>
      </c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25"/>
      <c r="Z716" s="225"/>
      <c r="AA716" s="225"/>
      <c r="AB716" s="225"/>
      <c r="AC716" s="225"/>
      <c r="AD716" s="228">
        <f>E716+F716+H716+J716+L716+N716+P716+R716+T716+V716+X716+Z716+AB716-G716-I716-K716-M716-O716-Q716-S716-U716-W716-Y716-AA716-AC716</f>
        <v>0</v>
      </c>
      <c r="AE716" s="246"/>
      <c r="AF716" s="240"/>
      <c r="AG716" s="240"/>
      <c r="AH716" s="240"/>
      <c r="AI716" s="240"/>
      <c r="AJ716" s="240"/>
      <c r="AK716" s="240"/>
      <c r="AL716" s="240"/>
      <c r="AM716" s="240">
        <f>322420.68+370186.72+358245.2+370186.72+358245.2+370186.71</f>
        <v>2149471.23</v>
      </c>
      <c r="AN716" s="240">
        <f>370186.72+334362.19+370186.71+334215.07+316977.12+262124.66+17017.26</f>
        <v>2005069.73</v>
      </c>
      <c r="AO716" s="240"/>
      <c r="AP716" s="240"/>
      <c r="AQ716" s="240"/>
      <c r="AR716" s="240"/>
      <c r="AS716" s="241">
        <f>4205166.47-AL716-AM716-AN716</f>
        <v>50625.50999999978</v>
      </c>
    </row>
    <row r="717" spans="1:45" ht="25.5" customHeight="1" hidden="1">
      <c r="A717" s="232"/>
      <c r="B717" s="235"/>
      <c r="C717" s="24" t="s">
        <v>0</v>
      </c>
      <c r="D717" s="83" t="s">
        <v>206</v>
      </c>
      <c r="E717" s="251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9"/>
      <c r="AE717" s="246"/>
      <c r="AF717" s="240"/>
      <c r="AG717" s="240"/>
      <c r="AH717" s="240"/>
      <c r="AI717" s="240"/>
      <c r="AJ717" s="240"/>
      <c r="AK717" s="240"/>
      <c r="AL717" s="240"/>
      <c r="AM717" s="240"/>
      <c r="AN717" s="240"/>
      <c r="AO717" s="240"/>
      <c r="AP717" s="240"/>
      <c r="AQ717" s="240"/>
      <c r="AR717" s="240"/>
      <c r="AS717" s="241"/>
    </row>
    <row r="718" spans="1:45" ht="14.25" customHeight="1" hidden="1">
      <c r="A718" s="232"/>
      <c r="B718" s="235"/>
      <c r="C718" s="25" t="s">
        <v>36</v>
      </c>
      <c r="D718" s="20" t="s">
        <v>42</v>
      </c>
      <c r="E718" s="251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9"/>
      <c r="AE718" s="246"/>
      <c r="AF718" s="240"/>
      <c r="AG718" s="240"/>
      <c r="AH718" s="240"/>
      <c r="AI718" s="240"/>
      <c r="AJ718" s="240"/>
      <c r="AK718" s="240"/>
      <c r="AL718" s="240"/>
      <c r="AM718" s="240"/>
      <c r="AN718" s="240"/>
      <c r="AO718" s="240"/>
      <c r="AP718" s="240"/>
      <c r="AQ718" s="240"/>
      <c r="AR718" s="240"/>
      <c r="AS718" s="241"/>
    </row>
    <row r="719" spans="1:45" ht="14.25" customHeight="1" hidden="1">
      <c r="A719" s="232"/>
      <c r="B719" s="235"/>
      <c r="C719" s="24" t="s">
        <v>37</v>
      </c>
      <c r="D719" s="85"/>
      <c r="E719" s="251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9"/>
      <c r="AE719" s="246"/>
      <c r="AF719" s="240"/>
      <c r="AG719" s="240"/>
      <c r="AH719" s="240"/>
      <c r="AI719" s="240"/>
      <c r="AJ719" s="240"/>
      <c r="AK719" s="240"/>
      <c r="AL719" s="240"/>
      <c r="AM719" s="240"/>
      <c r="AN719" s="240"/>
      <c r="AO719" s="240"/>
      <c r="AP719" s="240"/>
      <c r="AQ719" s="240"/>
      <c r="AR719" s="240"/>
      <c r="AS719" s="241"/>
    </row>
    <row r="720" spans="1:45" ht="14.25" customHeight="1" hidden="1">
      <c r="A720" s="232"/>
      <c r="B720" s="235"/>
      <c r="C720" s="24" t="s">
        <v>38</v>
      </c>
      <c r="D720" s="21">
        <v>48700000</v>
      </c>
      <c r="E720" s="251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9"/>
      <c r="AE720" s="246"/>
      <c r="AF720" s="240"/>
      <c r="AG720" s="240"/>
      <c r="AH720" s="240"/>
      <c r="AI720" s="240"/>
      <c r="AJ720" s="240"/>
      <c r="AK720" s="240"/>
      <c r="AL720" s="240"/>
      <c r="AM720" s="240"/>
      <c r="AN720" s="240"/>
      <c r="AO720" s="240"/>
      <c r="AP720" s="240"/>
      <c r="AQ720" s="240"/>
      <c r="AR720" s="240"/>
      <c r="AS720" s="241"/>
    </row>
    <row r="721" spans="1:45" ht="14.25" customHeight="1" hidden="1">
      <c r="A721" s="232"/>
      <c r="B721" s="235"/>
      <c r="C721" s="25" t="s">
        <v>39</v>
      </c>
      <c r="D721" s="27">
        <v>43285</v>
      </c>
      <c r="E721" s="251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9"/>
      <c r="AE721" s="246"/>
      <c r="AF721" s="240"/>
      <c r="AG721" s="240"/>
      <c r="AH721" s="240"/>
      <c r="AI721" s="240"/>
      <c r="AJ721" s="240"/>
      <c r="AK721" s="240"/>
      <c r="AL721" s="240"/>
      <c r="AM721" s="240"/>
      <c r="AN721" s="240"/>
      <c r="AO721" s="240"/>
      <c r="AP721" s="240"/>
      <c r="AQ721" s="240"/>
      <c r="AR721" s="240"/>
      <c r="AS721" s="241"/>
    </row>
    <row r="722" spans="1:45" ht="14.25" customHeight="1" hidden="1">
      <c r="A722" s="232"/>
      <c r="B722" s="235"/>
      <c r="C722" s="24" t="s">
        <v>1</v>
      </c>
      <c r="D722" s="168">
        <v>0.0895</v>
      </c>
      <c r="E722" s="251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9"/>
      <c r="AE722" s="246"/>
      <c r="AF722" s="240"/>
      <c r="AG722" s="240"/>
      <c r="AH722" s="240"/>
      <c r="AI722" s="240"/>
      <c r="AJ722" s="240"/>
      <c r="AK722" s="240"/>
      <c r="AL722" s="240"/>
      <c r="AM722" s="240"/>
      <c r="AN722" s="240"/>
      <c r="AO722" s="240"/>
      <c r="AP722" s="240"/>
      <c r="AQ722" s="240"/>
      <c r="AR722" s="240"/>
      <c r="AS722" s="241"/>
    </row>
    <row r="723" spans="1:45" ht="14.25" customHeight="1" hidden="1" thickBot="1">
      <c r="A723" s="233"/>
      <c r="B723" s="236"/>
      <c r="C723" s="26" t="s">
        <v>41</v>
      </c>
      <c r="D723" s="28"/>
      <c r="E723" s="252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  <c r="AA723" s="227"/>
      <c r="AB723" s="227"/>
      <c r="AC723" s="227"/>
      <c r="AD723" s="230"/>
      <c r="AE723" s="246"/>
      <c r="AF723" s="240"/>
      <c r="AG723" s="240"/>
      <c r="AH723" s="240"/>
      <c r="AI723" s="240"/>
      <c r="AJ723" s="240"/>
      <c r="AK723" s="240"/>
      <c r="AL723" s="240"/>
      <c r="AM723" s="240"/>
      <c r="AN723" s="240"/>
      <c r="AO723" s="240"/>
      <c r="AP723" s="240"/>
      <c r="AQ723" s="240"/>
      <c r="AR723" s="240"/>
      <c r="AS723" s="241"/>
    </row>
    <row r="724" spans="1:45" ht="28.5" customHeight="1" hidden="1">
      <c r="A724" s="231" t="s">
        <v>237</v>
      </c>
      <c r="B724" s="234" t="s">
        <v>238</v>
      </c>
      <c r="C724" s="23" t="s">
        <v>40</v>
      </c>
      <c r="D724" s="118" t="s">
        <v>239</v>
      </c>
      <c r="E724" s="250">
        <v>0</v>
      </c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  <c r="AA724" s="225"/>
      <c r="AB724" s="225"/>
      <c r="AC724" s="225"/>
      <c r="AD724" s="228">
        <f>E724+F724+H724+J724+L724+N724+P724+R724+T724+V724+X724+Z724+AB724-G724-I724-K724-M724-O724-Q724-S724-U724-W724-Y724-AA724-AC724</f>
        <v>0</v>
      </c>
      <c r="AE724" s="246"/>
      <c r="AF724" s="240"/>
      <c r="AG724" s="240"/>
      <c r="AH724" s="240"/>
      <c r="AI724" s="240"/>
      <c r="AJ724" s="240"/>
      <c r="AK724" s="240"/>
      <c r="AL724" s="240"/>
      <c r="AM724" s="240">
        <f>237338.63+418832.88+432793.97+418832.88+432793.97</f>
        <v>1940592.3299999998</v>
      </c>
      <c r="AN724" s="240">
        <f>432793.97+390910.69+432793.97+418832.88+432793.97+418832.87+0.01+432793.97+139610.96</f>
        <v>3099363.289999999</v>
      </c>
      <c r="AO724" s="240"/>
      <c r="AP724" s="240"/>
      <c r="AQ724" s="240"/>
      <c r="AR724" s="240"/>
      <c r="AS724" s="241">
        <f>5095800-AL724-AM724-AN724</f>
        <v>55844.38000000082</v>
      </c>
    </row>
    <row r="725" spans="1:45" ht="25.5" customHeight="1" hidden="1">
      <c r="A725" s="232"/>
      <c r="B725" s="235"/>
      <c r="C725" s="24" t="s">
        <v>0</v>
      </c>
      <c r="D725" s="83" t="s">
        <v>206</v>
      </c>
      <c r="E725" s="251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9"/>
      <c r="AE725" s="246"/>
      <c r="AF725" s="240"/>
      <c r="AG725" s="240"/>
      <c r="AH725" s="240"/>
      <c r="AI725" s="240"/>
      <c r="AJ725" s="240"/>
      <c r="AK725" s="240"/>
      <c r="AL725" s="240"/>
      <c r="AM725" s="240"/>
      <c r="AN725" s="240"/>
      <c r="AO725" s="240"/>
      <c r="AP725" s="240"/>
      <c r="AQ725" s="240"/>
      <c r="AR725" s="240"/>
      <c r="AS725" s="241"/>
    </row>
    <row r="726" spans="1:45" ht="14.25" customHeight="1" hidden="1">
      <c r="A726" s="232"/>
      <c r="B726" s="235"/>
      <c r="C726" s="25" t="s">
        <v>36</v>
      </c>
      <c r="D726" s="20" t="s">
        <v>42</v>
      </c>
      <c r="E726" s="251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9"/>
      <c r="AE726" s="246"/>
      <c r="AF726" s="240"/>
      <c r="AG726" s="240"/>
      <c r="AH726" s="240"/>
      <c r="AI726" s="240"/>
      <c r="AJ726" s="240"/>
      <c r="AK726" s="240"/>
      <c r="AL726" s="240"/>
      <c r="AM726" s="240"/>
      <c r="AN726" s="240"/>
      <c r="AO726" s="240"/>
      <c r="AP726" s="240"/>
      <c r="AQ726" s="240"/>
      <c r="AR726" s="240"/>
      <c r="AS726" s="241"/>
    </row>
    <row r="727" spans="1:45" ht="14.25" customHeight="1" hidden="1">
      <c r="A727" s="232"/>
      <c r="B727" s="235"/>
      <c r="C727" s="24" t="s">
        <v>37</v>
      </c>
      <c r="D727" s="85"/>
      <c r="E727" s="251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9"/>
      <c r="AE727" s="246"/>
      <c r="AF727" s="240"/>
      <c r="AG727" s="240"/>
      <c r="AH727" s="240"/>
      <c r="AI727" s="240"/>
      <c r="AJ727" s="240"/>
      <c r="AK727" s="240"/>
      <c r="AL727" s="240"/>
      <c r="AM727" s="240"/>
      <c r="AN727" s="240"/>
      <c r="AO727" s="240"/>
      <c r="AP727" s="240"/>
      <c r="AQ727" s="240"/>
      <c r="AR727" s="240"/>
      <c r="AS727" s="241"/>
    </row>
    <row r="728" spans="1:45" ht="14.25" customHeight="1" hidden="1">
      <c r="A728" s="232"/>
      <c r="B728" s="235"/>
      <c r="C728" s="24" t="s">
        <v>38</v>
      </c>
      <c r="D728" s="21">
        <v>57000000</v>
      </c>
      <c r="E728" s="251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9"/>
      <c r="AE728" s="246"/>
      <c r="AF728" s="240"/>
      <c r="AG728" s="240"/>
      <c r="AH728" s="240"/>
      <c r="AI728" s="240"/>
      <c r="AJ728" s="240"/>
      <c r="AK728" s="240"/>
      <c r="AL728" s="240"/>
      <c r="AM728" s="240"/>
      <c r="AN728" s="240"/>
      <c r="AO728" s="240"/>
      <c r="AP728" s="240"/>
      <c r="AQ728" s="240"/>
      <c r="AR728" s="240"/>
      <c r="AS728" s="241"/>
    </row>
    <row r="729" spans="1:45" ht="14.25" customHeight="1" hidden="1">
      <c r="A729" s="232"/>
      <c r="B729" s="235"/>
      <c r="C729" s="25" t="s">
        <v>39</v>
      </c>
      <c r="D729" s="27">
        <v>43326</v>
      </c>
      <c r="E729" s="251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9"/>
      <c r="AE729" s="246"/>
      <c r="AF729" s="240"/>
      <c r="AG729" s="240"/>
      <c r="AH729" s="240"/>
      <c r="AI729" s="240"/>
      <c r="AJ729" s="240"/>
      <c r="AK729" s="240"/>
      <c r="AL729" s="240"/>
      <c r="AM729" s="240"/>
      <c r="AN729" s="240"/>
      <c r="AO729" s="240"/>
      <c r="AP729" s="240"/>
      <c r="AQ729" s="240"/>
      <c r="AR729" s="240"/>
      <c r="AS729" s="241"/>
    </row>
    <row r="730" spans="1:45" ht="14.25" customHeight="1" hidden="1">
      <c r="A730" s="232"/>
      <c r="B730" s="235"/>
      <c r="C730" s="24" t="s">
        <v>1</v>
      </c>
      <c r="D730" s="168">
        <v>0.0894</v>
      </c>
      <c r="E730" s="251"/>
      <c r="F730" s="226"/>
      <c r="G730" s="226"/>
      <c r="H730" s="226"/>
      <c r="I730" s="226"/>
      <c r="J730" s="226"/>
      <c r="K730" s="226"/>
      <c r="L730" s="226"/>
      <c r="M730" s="226"/>
      <c r="N730" s="226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  <c r="AA730" s="226"/>
      <c r="AB730" s="226"/>
      <c r="AC730" s="226"/>
      <c r="AD730" s="229"/>
      <c r="AE730" s="246"/>
      <c r="AF730" s="240"/>
      <c r="AG730" s="240"/>
      <c r="AH730" s="240"/>
      <c r="AI730" s="240"/>
      <c r="AJ730" s="240"/>
      <c r="AK730" s="240"/>
      <c r="AL730" s="240"/>
      <c r="AM730" s="240"/>
      <c r="AN730" s="240"/>
      <c r="AO730" s="240"/>
      <c r="AP730" s="240"/>
      <c r="AQ730" s="240"/>
      <c r="AR730" s="240"/>
      <c r="AS730" s="241"/>
    </row>
    <row r="731" spans="1:45" ht="14.25" customHeight="1" hidden="1" thickBot="1">
      <c r="A731" s="233"/>
      <c r="B731" s="236"/>
      <c r="C731" s="26" t="s">
        <v>41</v>
      </c>
      <c r="D731" s="28"/>
      <c r="E731" s="252"/>
      <c r="F731" s="227"/>
      <c r="G731" s="227"/>
      <c r="H731" s="227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  <c r="AA731" s="227"/>
      <c r="AB731" s="227"/>
      <c r="AC731" s="227"/>
      <c r="AD731" s="230"/>
      <c r="AE731" s="246"/>
      <c r="AF731" s="240"/>
      <c r="AG731" s="240"/>
      <c r="AH731" s="240"/>
      <c r="AI731" s="240"/>
      <c r="AJ731" s="240"/>
      <c r="AK731" s="240"/>
      <c r="AL731" s="240"/>
      <c r="AM731" s="240"/>
      <c r="AN731" s="240"/>
      <c r="AO731" s="240"/>
      <c r="AP731" s="240"/>
      <c r="AQ731" s="240"/>
      <c r="AR731" s="240"/>
      <c r="AS731" s="241"/>
    </row>
    <row r="732" spans="1:45" ht="28.5" customHeight="1" hidden="1">
      <c r="A732" s="231" t="s">
        <v>240</v>
      </c>
      <c r="B732" s="234" t="s">
        <v>241</v>
      </c>
      <c r="C732" s="23" t="s">
        <v>40</v>
      </c>
      <c r="D732" s="118" t="s">
        <v>242</v>
      </c>
      <c r="E732" s="250">
        <v>0</v>
      </c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  <c r="AA732" s="225"/>
      <c r="AB732" s="225"/>
      <c r="AC732" s="225"/>
      <c r="AD732" s="228">
        <f>E732+F732+H732+J732+L732+N732+P732+R732+T732+V732+X732+Z732+AB732-G732-I732-K732-M732-O732-Q732-S732-U732-W732-Y732-AA732-AC732</f>
        <v>0</v>
      </c>
      <c r="AE732" s="246"/>
      <c r="AF732" s="240"/>
      <c r="AG732" s="240"/>
      <c r="AH732" s="240"/>
      <c r="AI732" s="240"/>
      <c r="AJ732" s="240"/>
      <c r="AK732" s="240"/>
      <c r="AL732" s="240"/>
      <c r="AM732" s="240">
        <f>98613.4+170332.24+277910.49+268945.64</f>
        <v>815801.77</v>
      </c>
      <c r="AN732" s="240">
        <f>277910.49+277910.49+251015.93+277910.49+268945.64+277910.49+268945.64-73892.14+101601.69</f>
        <v>1928258.72</v>
      </c>
      <c r="AO732" s="240"/>
      <c r="AP732" s="240"/>
      <c r="AQ732" s="240"/>
      <c r="AR732" s="240"/>
      <c r="AS732" s="241">
        <f>2901624.6-AM732-AN732</f>
        <v>157564.1100000001</v>
      </c>
    </row>
    <row r="733" spans="1:45" ht="25.5" customHeight="1" hidden="1">
      <c r="A733" s="232"/>
      <c r="B733" s="235"/>
      <c r="C733" s="24" t="s">
        <v>0</v>
      </c>
      <c r="D733" s="83" t="s">
        <v>243</v>
      </c>
      <c r="E733" s="251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9"/>
      <c r="AE733" s="246"/>
      <c r="AF733" s="240"/>
      <c r="AG733" s="240"/>
      <c r="AH733" s="240"/>
      <c r="AI733" s="240"/>
      <c r="AJ733" s="240"/>
      <c r="AK733" s="240"/>
      <c r="AL733" s="240"/>
      <c r="AM733" s="240"/>
      <c r="AN733" s="240"/>
      <c r="AO733" s="240"/>
      <c r="AP733" s="240"/>
      <c r="AQ733" s="240"/>
      <c r="AR733" s="240"/>
      <c r="AS733" s="241"/>
    </row>
    <row r="734" spans="1:45" ht="14.25" customHeight="1" hidden="1">
      <c r="A734" s="232"/>
      <c r="B734" s="235"/>
      <c r="C734" s="25" t="s">
        <v>36</v>
      </c>
      <c r="D734" s="20" t="s">
        <v>42</v>
      </c>
      <c r="E734" s="251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9"/>
      <c r="AE734" s="246"/>
      <c r="AF734" s="240"/>
      <c r="AG734" s="240"/>
      <c r="AH734" s="240"/>
      <c r="AI734" s="240"/>
      <c r="AJ734" s="240"/>
      <c r="AK734" s="240"/>
      <c r="AL734" s="240"/>
      <c r="AM734" s="240"/>
      <c r="AN734" s="240"/>
      <c r="AO734" s="240"/>
      <c r="AP734" s="240"/>
      <c r="AQ734" s="240"/>
      <c r="AR734" s="240"/>
      <c r="AS734" s="241"/>
    </row>
    <row r="735" spans="1:45" ht="14.25" customHeight="1" hidden="1">
      <c r="A735" s="232"/>
      <c r="B735" s="235"/>
      <c r="C735" s="24" t="s">
        <v>37</v>
      </c>
      <c r="D735" s="85"/>
      <c r="E735" s="251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9"/>
      <c r="AE735" s="246"/>
      <c r="AF735" s="240"/>
      <c r="AG735" s="240"/>
      <c r="AH735" s="240"/>
      <c r="AI735" s="240"/>
      <c r="AJ735" s="240"/>
      <c r="AK735" s="240"/>
      <c r="AL735" s="240"/>
      <c r="AM735" s="240"/>
      <c r="AN735" s="240"/>
      <c r="AO735" s="240"/>
      <c r="AP735" s="240"/>
      <c r="AQ735" s="240"/>
      <c r="AR735" s="240"/>
      <c r="AS735" s="241"/>
    </row>
    <row r="736" spans="1:45" ht="14.25" customHeight="1" hidden="1">
      <c r="A736" s="232"/>
      <c r="B736" s="235"/>
      <c r="C736" s="24" t="s">
        <v>38</v>
      </c>
      <c r="D736" s="21">
        <v>33000000</v>
      </c>
      <c r="E736" s="251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9"/>
      <c r="AE736" s="246"/>
      <c r="AF736" s="240"/>
      <c r="AG736" s="240"/>
      <c r="AH736" s="240"/>
      <c r="AI736" s="240"/>
      <c r="AJ736" s="240"/>
      <c r="AK736" s="240"/>
      <c r="AL736" s="240"/>
      <c r="AM736" s="240"/>
      <c r="AN736" s="240"/>
      <c r="AO736" s="240"/>
      <c r="AP736" s="240"/>
      <c r="AQ736" s="240"/>
      <c r="AR736" s="240"/>
      <c r="AS736" s="241"/>
    </row>
    <row r="737" spans="1:45" ht="14.25" customHeight="1" hidden="1">
      <c r="A737" s="232"/>
      <c r="B737" s="235"/>
      <c r="C737" s="25" t="s">
        <v>39</v>
      </c>
      <c r="D737" s="27">
        <v>43362</v>
      </c>
      <c r="E737" s="251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9"/>
      <c r="AE737" s="246"/>
      <c r="AF737" s="240"/>
      <c r="AG737" s="240"/>
      <c r="AH737" s="240"/>
      <c r="AI737" s="240"/>
      <c r="AJ737" s="240"/>
      <c r="AK737" s="240"/>
      <c r="AL737" s="240"/>
      <c r="AM737" s="240"/>
      <c r="AN737" s="240"/>
      <c r="AO737" s="240"/>
      <c r="AP737" s="240"/>
      <c r="AQ737" s="240"/>
      <c r="AR737" s="240"/>
      <c r="AS737" s="241"/>
    </row>
    <row r="738" spans="1:45" ht="14.25" customHeight="1" hidden="1">
      <c r="A738" s="232"/>
      <c r="B738" s="235"/>
      <c r="C738" s="24" t="s">
        <v>1</v>
      </c>
      <c r="D738" s="175">
        <v>0.099156725</v>
      </c>
      <c r="E738" s="251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9"/>
      <c r="AE738" s="246"/>
      <c r="AF738" s="240"/>
      <c r="AG738" s="240"/>
      <c r="AH738" s="240"/>
      <c r="AI738" s="240"/>
      <c r="AJ738" s="240"/>
      <c r="AK738" s="240"/>
      <c r="AL738" s="240"/>
      <c r="AM738" s="240"/>
      <c r="AN738" s="240"/>
      <c r="AO738" s="240"/>
      <c r="AP738" s="240"/>
      <c r="AQ738" s="240"/>
      <c r="AR738" s="240"/>
      <c r="AS738" s="241"/>
    </row>
    <row r="739" spans="1:45" ht="14.25" customHeight="1" hidden="1" thickBot="1">
      <c r="A739" s="233"/>
      <c r="B739" s="236"/>
      <c r="C739" s="26" t="s">
        <v>41</v>
      </c>
      <c r="D739" s="28"/>
      <c r="E739" s="252"/>
      <c r="F739" s="227"/>
      <c r="G739" s="227"/>
      <c r="H739" s="227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  <c r="AA739" s="227"/>
      <c r="AB739" s="227"/>
      <c r="AC739" s="227"/>
      <c r="AD739" s="230"/>
      <c r="AE739" s="246"/>
      <c r="AF739" s="240"/>
      <c r="AG739" s="240"/>
      <c r="AH739" s="240"/>
      <c r="AI739" s="240"/>
      <c r="AJ739" s="240"/>
      <c r="AK739" s="240"/>
      <c r="AL739" s="240"/>
      <c r="AM739" s="240"/>
      <c r="AN739" s="240"/>
      <c r="AO739" s="240"/>
      <c r="AP739" s="240"/>
      <c r="AQ739" s="240"/>
      <c r="AR739" s="240"/>
      <c r="AS739" s="241"/>
    </row>
    <row r="740" spans="1:45" ht="28.5" customHeight="1" hidden="1">
      <c r="A740" s="231" t="s">
        <v>244</v>
      </c>
      <c r="B740" s="234" t="s">
        <v>250</v>
      </c>
      <c r="C740" s="23" t="s">
        <v>40</v>
      </c>
      <c r="D740" s="118" t="s">
        <v>249</v>
      </c>
      <c r="E740" s="250">
        <v>0</v>
      </c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  <c r="AA740" s="225"/>
      <c r="AB740" s="225"/>
      <c r="AC740" s="225"/>
      <c r="AD740" s="228">
        <f>E740+F740+H740+J740+L740+N740+P740+R740+T740+V740+X740+Z740+AB740-G740-I740-K740-M740-O740-Q740-S740-U740-W740-Y740-AA740-AC740</f>
        <v>0</v>
      </c>
      <c r="AE740" s="246"/>
      <c r="AF740" s="240"/>
      <c r="AG740" s="240"/>
      <c r="AH740" s="240"/>
      <c r="AI740" s="240"/>
      <c r="AJ740" s="240"/>
      <c r="AK740" s="240"/>
      <c r="AL740" s="240"/>
      <c r="AM740" s="240">
        <f>10191.78+114657.54</f>
        <v>124849.31999999999</v>
      </c>
      <c r="AN740" s="240">
        <f>197465.75+184726.03+191095.89+197465.75+191095.89+197465.75+191095.89+197465.75+197465.75+191095.89+140136.99</f>
        <v>2076575.3300000003</v>
      </c>
      <c r="AO740" s="240"/>
      <c r="AP740" s="240"/>
      <c r="AQ740" s="240"/>
      <c r="AR740" s="240"/>
      <c r="AS740" s="241">
        <f>2207794.52-AM740-AN740</f>
        <v>6369.869999999646</v>
      </c>
    </row>
    <row r="741" spans="1:45" ht="25.5" customHeight="1" hidden="1">
      <c r="A741" s="232"/>
      <c r="B741" s="235"/>
      <c r="C741" s="24" t="s">
        <v>0</v>
      </c>
      <c r="D741" s="83" t="s">
        <v>243</v>
      </c>
      <c r="E741" s="251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9"/>
      <c r="AE741" s="246"/>
      <c r="AF741" s="240"/>
      <c r="AG741" s="240"/>
      <c r="AH741" s="240"/>
      <c r="AI741" s="240"/>
      <c r="AJ741" s="240"/>
      <c r="AK741" s="240"/>
      <c r="AL741" s="240"/>
      <c r="AM741" s="240"/>
      <c r="AN741" s="240"/>
      <c r="AO741" s="240"/>
      <c r="AP741" s="240"/>
      <c r="AQ741" s="240"/>
      <c r="AR741" s="240"/>
      <c r="AS741" s="241"/>
    </row>
    <row r="742" spans="1:45" ht="14.25" customHeight="1" hidden="1">
      <c r="A742" s="232"/>
      <c r="B742" s="235"/>
      <c r="C742" s="25" t="s">
        <v>36</v>
      </c>
      <c r="D742" s="20" t="s">
        <v>42</v>
      </c>
      <c r="E742" s="251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9"/>
      <c r="AE742" s="246"/>
      <c r="AF742" s="240"/>
      <c r="AG742" s="240"/>
      <c r="AH742" s="240"/>
      <c r="AI742" s="240"/>
      <c r="AJ742" s="240"/>
      <c r="AK742" s="240"/>
      <c r="AL742" s="240"/>
      <c r="AM742" s="240"/>
      <c r="AN742" s="240"/>
      <c r="AO742" s="240"/>
      <c r="AP742" s="240"/>
      <c r="AQ742" s="240"/>
      <c r="AR742" s="240"/>
      <c r="AS742" s="241"/>
    </row>
    <row r="743" spans="1:45" ht="14.25" customHeight="1" hidden="1">
      <c r="A743" s="232"/>
      <c r="B743" s="235"/>
      <c r="C743" s="24" t="s">
        <v>37</v>
      </c>
      <c r="D743" s="85"/>
      <c r="E743" s="251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9"/>
      <c r="AE743" s="246"/>
      <c r="AF743" s="240"/>
      <c r="AG743" s="240"/>
      <c r="AH743" s="240"/>
      <c r="AI743" s="240"/>
      <c r="AJ743" s="240"/>
      <c r="AK743" s="240"/>
      <c r="AL743" s="240"/>
      <c r="AM743" s="240"/>
      <c r="AN743" s="240"/>
      <c r="AO743" s="240"/>
      <c r="AP743" s="240"/>
      <c r="AQ743" s="240"/>
      <c r="AR743" s="240"/>
      <c r="AS743" s="241"/>
    </row>
    <row r="744" spans="1:45" ht="14.25" customHeight="1" hidden="1">
      <c r="A744" s="232"/>
      <c r="B744" s="235"/>
      <c r="C744" s="24" t="s">
        <v>38</v>
      </c>
      <c r="D744" s="21">
        <v>25000000</v>
      </c>
      <c r="E744" s="251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9"/>
      <c r="AE744" s="246"/>
      <c r="AF744" s="240"/>
      <c r="AG744" s="240"/>
      <c r="AH744" s="240"/>
      <c r="AI744" s="240"/>
      <c r="AJ744" s="240"/>
      <c r="AK744" s="240"/>
      <c r="AL744" s="240"/>
      <c r="AM744" s="240"/>
      <c r="AN744" s="240"/>
      <c r="AO744" s="240"/>
      <c r="AP744" s="240"/>
      <c r="AQ744" s="240"/>
      <c r="AR744" s="240"/>
      <c r="AS744" s="241"/>
    </row>
    <row r="745" spans="1:45" ht="14.25" customHeight="1" hidden="1">
      <c r="A745" s="232"/>
      <c r="B745" s="235"/>
      <c r="C745" s="25" t="s">
        <v>39</v>
      </c>
      <c r="D745" s="27">
        <v>43426</v>
      </c>
      <c r="E745" s="251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9"/>
      <c r="AE745" s="246"/>
      <c r="AF745" s="240"/>
      <c r="AG745" s="240"/>
      <c r="AH745" s="240"/>
      <c r="AI745" s="240"/>
      <c r="AJ745" s="240"/>
      <c r="AK745" s="240"/>
      <c r="AL745" s="240"/>
      <c r="AM745" s="240"/>
      <c r="AN745" s="240"/>
      <c r="AO745" s="240"/>
      <c r="AP745" s="240"/>
      <c r="AQ745" s="240"/>
      <c r="AR745" s="240"/>
      <c r="AS745" s="241"/>
    </row>
    <row r="746" spans="1:45" ht="14.25" customHeight="1" hidden="1">
      <c r="A746" s="232"/>
      <c r="B746" s="235"/>
      <c r="C746" s="24" t="s">
        <v>1</v>
      </c>
      <c r="D746" s="175">
        <v>0.093</v>
      </c>
      <c r="E746" s="251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9"/>
      <c r="AE746" s="246"/>
      <c r="AF746" s="240"/>
      <c r="AG746" s="240"/>
      <c r="AH746" s="240"/>
      <c r="AI746" s="240"/>
      <c r="AJ746" s="240"/>
      <c r="AK746" s="240"/>
      <c r="AL746" s="240"/>
      <c r="AM746" s="240"/>
      <c r="AN746" s="240"/>
      <c r="AO746" s="240"/>
      <c r="AP746" s="240"/>
      <c r="AQ746" s="240"/>
      <c r="AR746" s="240"/>
      <c r="AS746" s="241"/>
    </row>
    <row r="747" spans="1:45" ht="14.25" customHeight="1" hidden="1" thickBot="1">
      <c r="A747" s="233"/>
      <c r="B747" s="236"/>
      <c r="C747" s="26" t="s">
        <v>41</v>
      </c>
      <c r="D747" s="28"/>
      <c r="E747" s="252"/>
      <c r="F747" s="227"/>
      <c r="G747" s="227"/>
      <c r="H747" s="227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  <c r="AA747" s="227"/>
      <c r="AB747" s="227"/>
      <c r="AC747" s="227"/>
      <c r="AD747" s="230"/>
      <c r="AE747" s="246"/>
      <c r="AF747" s="240"/>
      <c r="AG747" s="240"/>
      <c r="AH747" s="240"/>
      <c r="AI747" s="240"/>
      <c r="AJ747" s="240"/>
      <c r="AK747" s="240"/>
      <c r="AL747" s="240"/>
      <c r="AM747" s="240"/>
      <c r="AN747" s="240"/>
      <c r="AO747" s="240"/>
      <c r="AP747" s="240"/>
      <c r="AQ747" s="240"/>
      <c r="AR747" s="240"/>
      <c r="AS747" s="241"/>
    </row>
    <row r="748" spans="1:45" ht="28.5" customHeight="1" hidden="1">
      <c r="A748" s="231" t="s">
        <v>260</v>
      </c>
      <c r="B748" s="234" t="s">
        <v>262</v>
      </c>
      <c r="C748" s="23" t="s">
        <v>40</v>
      </c>
      <c r="D748" s="118" t="s">
        <v>261</v>
      </c>
      <c r="E748" s="250"/>
      <c r="F748" s="225"/>
      <c r="G748" s="225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  <c r="AA748" s="225"/>
      <c r="AB748" s="225"/>
      <c r="AC748" s="225"/>
      <c r="AD748" s="228">
        <f>E748+F748+H748+J748+L748+N748+P748+R748+T748+V748+X748+Z748+AB748-G748-I748-K748-M748-O748-Q748-S748-U748-W748-Y748-AA748-AC748</f>
        <v>0</v>
      </c>
      <c r="AE748" s="246"/>
      <c r="AF748" s="240"/>
      <c r="AG748" s="240"/>
      <c r="AH748" s="240"/>
      <c r="AI748" s="240"/>
      <c r="AJ748" s="240"/>
      <c r="AK748" s="240"/>
      <c r="AL748" s="240"/>
      <c r="AM748" s="240">
        <f>10191.78+114657.54</f>
        <v>124849.31999999999</v>
      </c>
      <c r="AN748" s="240">
        <f>103070.3+220864.93+228227.1+615967.75+1000191.5+1263356.16+1222602.74+1308161.64+1491435.62</f>
        <v>7453877.74</v>
      </c>
      <c r="AO748" s="240">
        <f>1541150.13+1541150.13+1392006.57+99429.04+1291515.62+213641.1+1281846.58+1080659.72+838216.44+487383.01+277793.97+268832.88+161299.73</f>
        <v>10474924.920000002</v>
      </c>
      <c r="AP748" s="240"/>
      <c r="AQ748" s="240"/>
      <c r="AR748" s="240"/>
      <c r="AS748" s="241">
        <f>18221724.32-AN748-AO748</f>
        <v>292921.6599999983</v>
      </c>
    </row>
    <row r="749" spans="1:45" ht="25.5" customHeight="1" hidden="1">
      <c r="A749" s="232"/>
      <c r="B749" s="235"/>
      <c r="C749" s="24" t="s">
        <v>0</v>
      </c>
      <c r="D749" s="83" t="s">
        <v>243</v>
      </c>
      <c r="E749" s="251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9"/>
      <c r="AE749" s="246"/>
      <c r="AF749" s="240"/>
      <c r="AG749" s="240"/>
      <c r="AH749" s="240"/>
      <c r="AI749" s="240"/>
      <c r="AJ749" s="240"/>
      <c r="AK749" s="240"/>
      <c r="AL749" s="240"/>
      <c r="AM749" s="240"/>
      <c r="AN749" s="240"/>
      <c r="AO749" s="240"/>
      <c r="AP749" s="240"/>
      <c r="AQ749" s="240"/>
      <c r="AR749" s="240"/>
      <c r="AS749" s="241"/>
    </row>
    <row r="750" spans="1:45" ht="14.25" customHeight="1" hidden="1">
      <c r="A750" s="232"/>
      <c r="B750" s="235"/>
      <c r="C750" s="25" t="s">
        <v>36</v>
      </c>
      <c r="D750" s="20" t="s">
        <v>42</v>
      </c>
      <c r="E750" s="251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9"/>
      <c r="AE750" s="246"/>
      <c r="AF750" s="240"/>
      <c r="AG750" s="240"/>
      <c r="AH750" s="240"/>
      <c r="AI750" s="240"/>
      <c r="AJ750" s="240"/>
      <c r="AK750" s="240"/>
      <c r="AL750" s="240"/>
      <c r="AM750" s="240"/>
      <c r="AN750" s="240"/>
      <c r="AO750" s="240"/>
      <c r="AP750" s="240"/>
      <c r="AQ750" s="240"/>
      <c r="AR750" s="240"/>
      <c r="AS750" s="241"/>
    </row>
    <row r="751" spans="1:45" ht="14.25" customHeight="1" hidden="1">
      <c r="A751" s="232"/>
      <c r="B751" s="235"/>
      <c r="C751" s="24" t="s">
        <v>37</v>
      </c>
      <c r="D751" s="85"/>
      <c r="E751" s="251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9"/>
      <c r="AE751" s="246"/>
      <c r="AF751" s="240"/>
      <c r="AG751" s="240"/>
      <c r="AH751" s="240"/>
      <c r="AI751" s="240"/>
      <c r="AJ751" s="240"/>
      <c r="AK751" s="240"/>
      <c r="AL751" s="240"/>
      <c r="AM751" s="240"/>
      <c r="AN751" s="240"/>
      <c r="AO751" s="240"/>
      <c r="AP751" s="240"/>
      <c r="AQ751" s="240"/>
      <c r="AR751" s="240"/>
      <c r="AS751" s="241"/>
    </row>
    <row r="752" spans="1:45" ht="14.25" customHeight="1" hidden="1">
      <c r="A752" s="232"/>
      <c r="B752" s="235"/>
      <c r="C752" s="24" t="s">
        <v>38</v>
      </c>
      <c r="D752" s="21">
        <v>237200000</v>
      </c>
      <c r="E752" s="251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9"/>
      <c r="AE752" s="246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  <c r="AP752" s="240"/>
      <c r="AQ752" s="240"/>
      <c r="AR752" s="240"/>
      <c r="AS752" s="241"/>
    </row>
    <row r="753" spans="1:45" ht="14.25" customHeight="1" hidden="1">
      <c r="A753" s="232"/>
      <c r="B753" s="235"/>
      <c r="C753" s="25" t="s">
        <v>39</v>
      </c>
      <c r="D753" s="27">
        <v>43785</v>
      </c>
      <c r="E753" s="251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9"/>
      <c r="AE753" s="246"/>
      <c r="AF753" s="240"/>
      <c r="AG753" s="240"/>
      <c r="AH753" s="240"/>
      <c r="AI753" s="240"/>
      <c r="AJ753" s="240"/>
      <c r="AK753" s="240"/>
      <c r="AL753" s="240"/>
      <c r="AM753" s="240"/>
      <c r="AN753" s="240"/>
      <c r="AO753" s="240"/>
      <c r="AP753" s="240"/>
      <c r="AQ753" s="240"/>
      <c r="AR753" s="240"/>
      <c r="AS753" s="241"/>
    </row>
    <row r="754" spans="1:45" ht="14.25" customHeight="1" hidden="1">
      <c r="A754" s="232"/>
      <c r="B754" s="235"/>
      <c r="C754" s="24" t="s">
        <v>1</v>
      </c>
      <c r="D754" s="175">
        <v>0.089573</v>
      </c>
      <c r="E754" s="251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9"/>
      <c r="AE754" s="246"/>
      <c r="AF754" s="240"/>
      <c r="AG754" s="240"/>
      <c r="AH754" s="240"/>
      <c r="AI754" s="240"/>
      <c r="AJ754" s="240"/>
      <c r="AK754" s="240"/>
      <c r="AL754" s="240"/>
      <c r="AM754" s="240"/>
      <c r="AN754" s="240"/>
      <c r="AO754" s="240"/>
      <c r="AP754" s="240"/>
      <c r="AQ754" s="240"/>
      <c r="AR754" s="240"/>
      <c r="AS754" s="241"/>
    </row>
    <row r="755" spans="1:45" ht="43.5" customHeight="1" hidden="1" thickBot="1">
      <c r="A755" s="233"/>
      <c r="B755" s="236"/>
      <c r="C755" s="26" t="s">
        <v>41</v>
      </c>
      <c r="D755" s="28" t="s">
        <v>273</v>
      </c>
      <c r="E755" s="252"/>
      <c r="F755" s="227"/>
      <c r="G755" s="227"/>
      <c r="H755" s="227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  <c r="AA755" s="227"/>
      <c r="AB755" s="227"/>
      <c r="AC755" s="227"/>
      <c r="AD755" s="230"/>
      <c r="AE755" s="246"/>
      <c r="AF755" s="240"/>
      <c r="AG755" s="240"/>
      <c r="AH755" s="240"/>
      <c r="AI755" s="240"/>
      <c r="AJ755" s="240"/>
      <c r="AK755" s="240"/>
      <c r="AL755" s="240"/>
      <c r="AM755" s="240"/>
      <c r="AN755" s="240"/>
      <c r="AO755" s="240"/>
      <c r="AP755" s="240"/>
      <c r="AQ755" s="240"/>
      <c r="AR755" s="240"/>
      <c r="AS755" s="241"/>
    </row>
    <row r="756" spans="1:45" ht="28.5" customHeight="1" hidden="1">
      <c r="A756" s="231" t="s">
        <v>270</v>
      </c>
      <c r="B756" s="234" t="s">
        <v>272</v>
      </c>
      <c r="C756" s="23" t="s">
        <v>40</v>
      </c>
      <c r="D756" s="118" t="s">
        <v>271</v>
      </c>
      <c r="E756" s="250">
        <v>0</v>
      </c>
      <c r="F756" s="225"/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  <c r="AA756" s="225"/>
      <c r="AB756" s="225"/>
      <c r="AC756" s="225"/>
      <c r="AD756" s="228">
        <f>E756+F756+H756+J756+L756+N756+P756+R756+T756+V756+X756+Z756+AB756-G756-I756-K756-M756-O756-Q756-S756-U756-W756-Y756-AA756-AC756</f>
        <v>0</v>
      </c>
      <c r="AE756" s="246"/>
      <c r="AF756" s="240"/>
      <c r="AG756" s="240"/>
      <c r="AH756" s="240"/>
      <c r="AI756" s="240"/>
      <c r="AJ756" s="240"/>
      <c r="AK756" s="240"/>
      <c r="AL756" s="240"/>
      <c r="AM756" s="240"/>
      <c r="AN756" s="240"/>
      <c r="AO756" s="240">
        <f>175684.93+234246.58+278493.15+746986.3+1197260.27+1411986.3+1366438.36+1566849.32+1730431.51</f>
        <v>8708376.72</v>
      </c>
      <c r="AP756" s="254">
        <f>1827512.27+1826543.72+353524.59+1325327.87+1227213.12+403360.66+1585150.27+1495081.97+1005806.01+505109.29+88251.37+92793.72+220628.42+253073.77+33743.17+72547.81</f>
        <v>12315668.03</v>
      </c>
      <c r="AQ756" s="254"/>
      <c r="AR756" s="254"/>
      <c r="AS756" s="253">
        <f>21589765.5-AO756-AP756</f>
        <v>565720.75</v>
      </c>
    </row>
    <row r="757" spans="1:45" ht="25.5" customHeight="1" hidden="1">
      <c r="A757" s="232"/>
      <c r="B757" s="235"/>
      <c r="C757" s="24" t="s">
        <v>0</v>
      </c>
      <c r="D757" s="83" t="s">
        <v>243</v>
      </c>
      <c r="E757" s="251"/>
      <c r="F757" s="226"/>
      <c r="G757" s="226"/>
      <c r="H757" s="226"/>
      <c r="I757" s="226"/>
      <c r="J757" s="226"/>
      <c r="K757" s="226"/>
      <c r="L757" s="226"/>
      <c r="M757" s="226"/>
      <c r="N757" s="226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  <c r="AA757" s="226"/>
      <c r="AB757" s="226"/>
      <c r="AC757" s="226"/>
      <c r="AD757" s="229"/>
      <c r="AE757" s="246"/>
      <c r="AF757" s="240"/>
      <c r="AG757" s="240"/>
      <c r="AH757" s="240"/>
      <c r="AI757" s="240"/>
      <c r="AJ757" s="240"/>
      <c r="AK757" s="240"/>
      <c r="AL757" s="240"/>
      <c r="AM757" s="240"/>
      <c r="AN757" s="240"/>
      <c r="AO757" s="240"/>
      <c r="AP757" s="254"/>
      <c r="AQ757" s="254"/>
      <c r="AR757" s="254"/>
      <c r="AS757" s="253"/>
    </row>
    <row r="758" spans="1:45" ht="14.25" customHeight="1" hidden="1">
      <c r="A758" s="232"/>
      <c r="B758" s="235"/>
      <c r="C758" s="25" t="s">
        <v>36</v>
      </c>
      <c r="D758" s="20" t="s">
        <v>42</v>
      </c>
      <c r="E758" s="251"/>
      <c r="F758" s="226"/>
      <c r="G758" s="226"/>
      <c r="H758" s="226"/>
      <c r="I758" s="226"/>
      <c r="J758" s="226"/>
      <c r="K758" s="226"/>
      <c r="L758" s="226"/>
      <c r="M758" s="226"/>
      <c r="N758" s="226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/>
      <c r="Y758" s="226"/>
      <c r="Z758" s="226"/>
      <c r="AA758" s="226"/>
      <c r="AB758" s="226"/>
      <c r="AC758" s="226"/>
      <c r="AD758" s="229"/>
      <c r="AE758" s="246"/>
      <c r="AF758" s="240"/>
      <c r="AG758" s="240"/>
      <c r="AH758" s="240"/>
      <c r="AI758" s="240"/>
      <c r="AJ758" s="240"/>
      <c r="AK758" s="240"/>
      <c r="AL758" s="240"/>
      <c r="AM758" s="240"/>
      <c r="AN758" s="240"/>
      <c r="AO758" s="240"/>
      <c r="AP758" s="254"/>
      <c r="AQ758" s="254"/>
      <c r="AR758" s="254"/>
      <c r="AS758" s="253"/>
    </row>
    <row r="759" spans="1:45" ht="14.25" customHeight="1" hidden="1">
      <c r="A759" s="232"/>
      <c r="B759" s="235"/>
      <c r="C759" s="24" t="s">
        <v>37</v>
      </c>
      <c r="D759" s="85"/>
      <c r="E759" s="251"/>
      <c r="F759" s="226"/>
      <c r="G759" s="226"/>
      <c r="H759" s="226"/>
      <c r="I759" s="226"/>
      <c r="J759" s="226"/>
      <c r="K759" s="226"/>
      <c r="L759" s="226"/>
      <c r="M759" s="226"/>
      <c r="N759" s="226"/>
      <c r="O759" s="226"/>
      <c r="P759" s="226"/>
      <c r="Q759" s="226"/>
      <c r="R759" s="226"/>
      <c r="S759" s="226"/>
      <c r="T759" s="226"/>
      <c r="U759" s="226"/>
      <c r="V759" s="226"/>
      <c r="W759" s="226"/>
      <c r="X759" s="226"/>
      <c r="Y759" s="226"/>
      <c r="Z759" s="226"/>
      <c r="AA759" s="226"/>
      <c r="AB759" s="226"/>
      <c r="AC759" s="226"/>
      <c r="AD759" s="229"/>
      <c r="AE759" s="246"/>
      <c r="AF759" s="240"/>
      <c r="AG759" s="240"/>
      <c r="AH759" s="240"/>
      <c r="AI759" s="240"/>
      <c r="AJ759" s="240"/>
      <c r="AK759" s="240"/>
      <c r="AL759" s="240"/>
      <c r="AM759" s="240"/>
      <c r="AN759" s="240"/>
      <c r="AO759" s="240"/>
      <c r="AP759" s="254"/>
      <c r="AQ759" s="254"/>
      <c r="AR759" s="254"/>
      <c r="AS759" s="253"/>
    </row>
    <row r="760" spans="1:45" ht="14.25" customHeight="1" hidden="1">
      <c r="A760" s="232"/>
      <c r="B760" s="235"/>
      <c r="C760" s="24" t="s">
        <v>38</v>
      </c>
      <c r="D760" s="21">
        <v>227000000</v>
      </c>
      <c r="E760" s="251"/>
      <c r="F760" s="226"/>
      <c r="G760" s="226"/>
      <c r="H760" s="226"/>
      <c r="I760" s="226"/>
      <c r="J760" s="226"/>
      <c r="K760" s="226"/>
      <c r="L760" s="226"/>
      <c r="M760" s="226"/>
      <c r="N760" s="226"/>
      <c r="O760" s="226"/>
      <c r="P760" s="226"/>
      <c r="Q760" s="226"/>
      <c r="R760" s="226"/>
      <c r="S760" s="226"/>
      <c r="T760" s="226"/>
      <c r="U760" s="226"/>
      <c r="V760" s="226"/>
      <c r="W760" s="226"/>
      <c r="X760" s="226"/>
      <c r="Y760" s="226"/>
      <c r="Z760" s="226"/>
      <c r="AA760" s="226"/>
      <c r="AB760" s="226"/>
      <c r="AC760" s="226"/>
      <c r="AD760" s="229"/>
      <c r="AE760" s="246"/>
      <c r="AF760" s="240"/>
      <c r="AG760" s="240"/>
      <c r="AH760" s="240"/>
      <c r="AI760" s="240"/>
      <c r="AJ760" s="240"/>
      <c r="AK760" s="240"/>
      <c r="AL760" s="240"/>
      <c r="AM760" s="240"/>
      <c r="AN760" s="240"/>
      <c r="AO760" s="240"/>
      <c r="AP760" s="254"/>
      <c r="AQ760" s="254"/>
      <c r="AR760" s="254"/>
      <c r="AS760" s="253"/>
    </row>
    <row r="761" spans="1:45" ht="14.25" customHeight="1" hidden="1">
      <c r="A761" s="232"/>
      <c r="B761" s="235"/>
      <c r="C761" s="25" t="s">
        <v>39</v>
      </c>
      <c r="D761" s="27">
        <v>44177</v>
      </c>
      <c r="E761" s="251"/>
      <c r="F761" s="226"/>
      <c r="G761" s="226"/>
      <c r="H761" s="226"/>
      <c r="I761" s="226"/>
      <c r="J761" s="226"/>
      <c r="K761" s="226"/>
      <c r="L761" s="226"/>
      <c r="M761" s="226"/>
      <c r="N761" s="226"/>
      <c r="O761" s="226"/>
      <c r="P761" s="226"/>
      <c r="Q761" s="226"/>
      <c r="R761" s="226"/>
      <c r="S761" s="226"/>
      <c r="T761" s="226"/>
      <c r="U761" s="226"/>
      <c r="V761" s="226"/>
      <c r="W761" s="226"/>
      <c r="X761" s="226"/>
      <c r="Y761" s="226"/>
      <c r="Z761" s="226"/>
      <c r="AA761" s="226"/>
      <c r="AB761" s="226"/>
      <c r="AC761" s="226"/>
      <c r="AD761" s="229"/>
      <c r="AE761" s="246"/>
      <c r="AF761" s="240"/>
      <c r="AG761" s="240"/>
      <c r="AH761" s="240"/>
      <c r="AI761" s="240"/>
      <c r="AJ761" s="240"/>
      <c r="AK761" s="240"/>
      <c r="AL761" s="240"/>
      <c r="AM761" s="240"/>
      <c r="AN761" s="240"/>
      <c r="AO761" s="240"/>
      <c r="AP761" s="254"/>
      <c r="AQ761" s="254"/>
      <c r="AR761" s="254"/>
      <c r="AS761" s="253"/>
    </row>
    <row r="762" spans="1:45" ht="14.25" customHeight="1" hidden="1">
      <c r="A762" s="232"/>
      <c r="B762" s="235"/>
      <c r="C762" s="24" t="s">
        <v>1</v>
      </c>
      <c r="D762" s="175">
        <v>0.095</v>
      </c>
      <c r="E762" s="251"/>
      <c r="F762" s="226"/>
      <c r="G762" s="226"/>
      <c r="H762" s="226"/>
      <c r="I762" s="226"/>
      <c r="J762" s="226"/>
      <c r="K762" s="226"/>
      <c r="L762" s="226"/>
      <c r="M762" s="226"/>
      <c r="N762" s="226"/>
      <c r="O762" s="226"/>
      <c r="P762" s="226"/>
      <c r="Q762" s="226"/>
      <c r="R762" s="226"/>
      <c r="S762" s="226"/>
      <c r="T762" s="226"/>
      <c r="U762" s="226"/>
      <c r="V762" s="226"/>
      <c r="W762" s="226"/>
      <c r="X762" s="226"/>
      <c r="Y762" s="226"/>
      <c r="Z762" s="226"/>
      <c r="AA762" s="226"/>
      <c r="AB762" s="226"/>
      <c r="AC762" s="226"/>
      <c r="AD762" s="229"/>
      <c r="AE762" s="246"/>
      <c r="AF762" s="240"/>
      <c r="AG762" s="240"/>
      <c r="AH762" s="240"/>
      <c r="AI762" s="240"/>
      <c r="AJ762" s="240"/>
      <c r="AK762" s="240"/>
      <c r="AL762" s="240"/>
      <c r="AM762" s="240"/>
      <c r="AN762" s="240"/>
      <c r="AO762" s="240"/>
      <c r="AP762" s="254"/>
      <c r="AQ762" s="254"/>
      <c r="AR762" s="254"/>
      <c r="AS762" s="253"/>
    </row>
    <row r="763" spans="1:45" ht="14.25" customHeight="1" hidden="1" thickBot="1">
      <c r="A763" s="233"/>
      <c r="B763" s="236"/>
      <c r="C763" s="26" t="s">
        <v>41</v>
      </c>
      <c r="D763" s="28"/>
      <c r="E763" s="252"/>
      <c r="F763" s="227"/>
      <c r="G763" s="227"/>
      <c r="H763" s="227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  <c r="AA763" s="227"/>
      <c r="AB763" s="227"/>
      <c r="AC763" s="227"/>
      <c r="AD763" s="230"/>
      <c r="AE763" s="246"/>
      <c r="AF763" s="240"/>
      <c r="AG763" s="240"/>
      <c r="AH763" s="240"/>
      <c r="AI763" s="240"/>
      <c r="AJ763" s="240"/>
      <c r="AK763" s="240"/>
      <c r="AL763" s="240"/>
      <c r="AM763" s="240"/>
      <c r="AN763" s="240"/>
      <c r="AO763" s="240"/>
      <c r="AP763" s="254"/>
      <c r="AQ763" s="254"/>
      <c r="AR763" s="254"/>
      <c r="AS763" s="253"/>
    </row>
    <row r="764" spans="1:45" ht="41.25" customHeight="1" hidden="1">
      <c r="A764" s="231" t="s">
        <v>284</v>
      </c>
      <c r="B764" s="234" t="s">
        <v>285</v>
      </c>
      <c r="C764" s="23" t="s">
        <v>40</v>
      </c>
      <c r="D764" s="211" t="s">
        <v>290</v>
      </c>
      <c r="E764" s="250">
        <v>0</v>
      </c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  <c r="AA764" s="225"/>
      <c r="AB764" s="225"/>
      <c r="AC764" s="225"/>
      <c r="AD764" s="228">
        <f>E764+F764+H764+J764+L764+N764+P764+R764+T764+V764+X764+Z764+AB764-G764-I764-K764-M764-O764-Q764-S764-U764-W764-Y764-AA764-AC764</f>
        <v>0</v>
      </c>
      <c r="AE764" s="246"/>
      <c r="AF764" s="240"/>
      <c r="AG764" s="240"/>
      <c r="AH764" s="240"/>
      <c r="AI764" s="240"/>
      <c r="AJ764" s="240"/>
      <c r="AK764" s="240"/>
      <c r="AL764" s="240"/>
      <c r="AM764" s="240"/>
      <c r="AN764" s="240"/>
      <c r="AO764" s="240"/>
      <c r="AP764" s="254">
        <f>141639.34+177049.18+253770.49+247868.85+256131.15+256131.15+247868.85+140459.02+24786.89</f>
        <v>1745704.92</v>
      </c>
      <c r="AQ764" s="254"/>
      <c r="AR764" s="254"/>
      <c r="AS764" s="253">
        <f>1968786.88-AO764-AP764</f>
        <v>223081.95999999996</v>
      </c>
    </row>
    <row r="765" spans="1:45" ht="25.5" customHeight="1" hidden="1">
      <c r="A765" s="232"/>
      <c r="B765" s="235"/>
      <c r="C765" s="24" t="s">
        <v>0</v>
      </c>
      <c r="D765" s="83" t="s">
        <v>243</v>
      </c>
      <c r="E765" s="251"/>
      <c r="F765" s="226"/>
      <c r="G765" s="226"/>
      <c r="H765" s="226"/>
      <c r="I765" s="226"/>
      <c r="J765" s="226"/>
      <c r="K765" s="226"/>
      <c r="L765" s="226"/>
      <c r="M765" s="226"/>
      <c r="N765" s="226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/>
      <c r="Y765" s="226"/>
      <c r="Z765" s="226"/>
      <c r="AA765" s="226"/>
      <c r="AB765" s="226"/>
      <c r="AC765" s="226"/>
      <c r="AD765" s="229"/>
      <c r="AE765" s="246"/>
      <c r="AF765" s="240"/>
      <c r="AG765" s="240"/>
      <c r="AH765" s="240"/>
      <c r="AI765" s="240"/>
      <c r="AJ765" s="240"/>
      <c r="AK765" s="240"/>
      <c r="AL765" s="240"/>
      <c r="AM765" s="240"/>
      <c r="AN765" s="240"/>
      <c r="AO765" s="240"/>
      <c r="AP765" s="254"/>
      <c r="AQ765" s="254"/>
      <c r="AR765" s="254"/>
      <c r="AS765" s="253"/>
    </row>
    <row r="766" spans="1:45" ht="14.25" customHeight="1" hidden="1">
      <c r="A766" s="232"/>
      <c r="B766" s="235"/>
      <c r="C766" s="25" t="s">
        <v>36</v>
      </c>
      <c r="D766" s="20" t="s">
        <v>42</v>
      </c>
      <c r="E766" s="251"/>
      <c r="F766" s="226"/>
      <c r="G766" s="226"/>
      <c r="H766" s="226"/>
      <c r="I766" s="226"/>
      <c r="J766" s="226"/>
      <c r="K766" s="226"/>
      <c r="L766" s="226"/>
      <c r="M766" s="226"/>
      <c r="N766" s="226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/>
      <c r="Y766" s="226"/>
      <c r="Z766" s="226"/>
      <c r="AA766" s="226"/>
      <c r="AB766" s="226"/>
      <c r="AC766" s="226"/>
      <c r="AD766" s="229"/>
      <c r="AE766" s="246"/>
      <c r="AF766" s="240"/>
      <c r="AG766" s="240"/>
      <c r="AH766" s="240"/>
      <c r="AI766" s="240"/>
      <c r="AJ766" s="240"/>
      <c r="AK766" s="240"/>
      <c r="AL766" s="240"/>
      <c r="AM766" s="240"/>
      <c r="AN766" s="240"/>
      <c r="AO766" s="240"/>
      <c r="AP766" s="254"/>
      <c r="AQ766" s="254"/>
      <c r="AR766" s="254"/>
      <c r="AS766" s="253"/>
    </row>
    <row r="767" spans="1:45" ht="14.25" customHeight="1" hidden="1">
      <c r="A767" s="232"/>
      <c r="B767" s="235"/>
      <c r="C767" s="24" t="s">
        <v>37</v>
      </c>
      <c r="D767" s="85"/>
      <c r="E767" s="251"/>
      <c r="F767" s="226"/>
      <c r="G767" s="226"/>
      <c r="H767" s="226"/>
      <c r="I767" s="226"/>
      <c r="J767" s="226"/>
      <c r="K767" s="226"/>
      <c r="L767" s="226"/>
      <c r="M767" s="226"/>
      <c r="N767" s="226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/>
      <c r="Y767" s="226"/>
      <c r="Z767" s="226"/>
      <c r="AA767" s="226"/>
      <c r="AB767" s="226"/>
      <c r="AC767" s="226"/>
      <c r="AD767" s="229"/>
      <c r="AE767" s="246"/>
      <c r="AF767" s="240"/>
      <c r="AG767" s="240"/>
      <c r="AH767" s="240"/>
      <c r="AI767" s="240"/>
      <c r="AJ767" s="240"/>
      <c r="AK767" s="240"/>
      <c r="AL767" s="240"/>
      <c r="AM767" s="240"/>
      <c r="AN767" s="240"/>
      <c r="AO767" s="240"/>
      <c r="AP767" s="254"/>
      <c r="AQ767" s="254"/>
      <c r="AR767" s="254"/>
      <c r="AS767" s="253"/>
    </row>
    <row r="768" spans="1:45" ht="14.25" customHeight="1" hidden="1">
      <c r="A768" s="232"/>
      <c r="B768" s="235"/>
      <c r="C768" s="24" t="s">
        <v>38</v>
      </c>
      <c r="D768" s="21">
        <v>35000000</v>
      </c>
      <c r="E768" s="251"/>
      <c r="F768" s="226"/>
      <c r="G768" s="226"/>
      <c r="H768" s="226"/>
      <c r="I768" s="226"/>
      <c r="J768" s="226"/>
      <c r="K768" s="226"/>
      <c r="L768" s="226"/>
      <c r="M768" s="226"/>
      <c r="N768" s="226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/>
      <c r="Y768" s="226"/>
      <c r="Z768" s="226"/>
      <c r="AA768" s="226"/>
      <c r="AB768" s="226"/>
      <c r="AC768" s="226"/>
      <c r="AD768" s="229"/>
      <c r="AE768" s="246"/>
      <c r="AF768" s="240"/>
      <c r="AG768" s="240"/>
      <c r="AH768" s="240"/>
      <c r="AI768" s="240"/>
      <c r="AJ768" s="240"/>
      <c r="AK768" s="240"/>
      <c r="AL768" s="240"/>
      <c r="AM768" s="240"/>
      <c r="AN768" s="240"/>
      <c r="AO768" s="240"/>
      <c r="AP768" s="254"/>
      <c r="AQ768" s="254"/>
      <c r="AR768" s="254"/>
      <c r="AS768" s="253"/>
    </row>
    <row r="769" spans="1:45" ht="14.25" customHeight="1" hidden="1">
      <c r="A769" s="232"/>
      <c r="B769" s="235"/>
      <c r="C769" s="25" t="s">
        <v>39</v>
      </c>
      <c r="D769" s="27">
        <v>44176</v>
      </c>
      <c r="E769" s="251"/>
      <c r="F769" s="226"/>
      <c r="G769" s="226"/>
      <c r="H769" s="226"/>
      <c r="I769" s="226"/>
      <c r="J769" s="226"/>
      <c r="K769" s="226"/>
      <c r="L769" s="226"/>
      <c r="M769" s="226"/>
      <c r="N769" s="226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  <c r="AA769" s="226"/>
      <c r="AB769" s="226"/>
      <c r="AC769" s="226"/>
      <c r="AD769" s="229"/>
      <c r="AE769" s="246"/>
      <c r="AF769" s="240"/>
      <c r="AG769" s="240"/>
      <c r="AH769" s="240"/>
      <c r="AI769" s="240"/>
      <c r="AJ769" s="240"/>
      <c r="AK769" s="240"/>
      <c r="AL769" s="240"/>
      <c r="AM769" s="240"/>
      <c r="AN769" s="240"/>
      <c r="AO769" s="240"/>
      <c r="AP769" s="254"/>
      <c r="AQ769" s="254"/>
      <c r="AR769" s="254"/>
      <c r="AS769" s="253"/>
    </row>
    <row r="770" spans="1:45" ht="14.25" customHeight="1" hidden="1">
      <c r="A770" s="232"/>
      <c r="B770" s="235"/>
      <c r="C770" s="24" t="s">
        <v>1</v>
      </c>
      <c r="D770" s="175">
        <v>0.0864</v>
      </c>
      <c r="E770" s="251"/>
      <c r="F770" s="226"/>
      <c r="G770" s="226"/>
      <c r="H770" s="226"/>
      <c r="I770" s="226"/>
      <c r="J770" s="226"/>
      <c r="K770" s="226"/>
      <c r="L770" s="226"/>
      <c r="M770" s="226"/>
      <c r="N770" s="226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  <c r="AA770" s="226"/>
      <c r="AB770" s="226"/>
      <c r="AC770" s="226"/>
      <c r="AD770" s="229"/>
      <c r="AE770" s="246"/>
      <c r="AF770" s="240"/>
      <c r="AG770" s="240"/>
      <c r="AH770" s="240"/>
      <c r="AI770" s="240"/>
      <c r="AJ770" s="240"/>
      <c r="AK770" s="240"/>
      <c r="AL770" s="240"/>
      <c r="AM770" s="240"/>
      <c r="AN770" s="240"/>
      <c r="AO770" s="240"/>
      <c r="AP770" s="254"/>
      <c r="AQ770" s="254"/>
      <c r="AR770" s="254"/>
      <c r="AS770" s="253"/>
    </row>
    <row r="771" spans="1:45" ht="14.25" customHeight="1" hidden="1" thickBot="1">
      <c r="A771" s="233"/>
      <c r="B771" s="236"/>
      <c r="C771" s="26" t="s">
        <v>41</v>
      </c>
      <c r="D771" s="28"/>
      <c r="E771" s="252"/>
      <c r="F771" s="227"/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  <c r="AA771" s="227"/>
      <c r="AB771" s="227"/>
      <c r="AC771" s="227"/>
      <c r="AD771" s="230"/>
      <c r="AE771" s="246"/>
      <c r="AF771" s="240"/>
      <c r="AG771" s="240"/>
      <c r="AH771" s="240"/>
      <c r="AI771" s="240"/>
      <c r="AJ771" s="240"/>
      <c r="AK771" s="240"/>
      <c r="AL771" s="240"/>
      <c r="AM771" s="240"/>
      <c r="AN771" s="240"/>
      <c r="AO771" s="240"/>
      <c r="AP771" s="254"/>
      <c r="AQ771" s="254"/>
      <c r="AR771" s="254"/>
      <c r="AS771" s="253"/>
    </row>
    <row r="772" spans="1:45" ht="41.25" customHeight="1" hidden="1">
      <c r="A772" s="231" t="s">
        <v>286</v>
      </c>
      <c r="B772" s="234" t="s">
        <v>287</v>
      </c>
      <c r="C772" s="23" t="s">
        <v>40</v>
      </c>
      <c r="D772" s="211" t="s">
        <v>291</v>
      </c>
      <c r="E772" s="250">
        <v>0</v>
      </c>
      <c r="F772" s="225"/>
      <c r="G772" s="225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  <c r="AA772" s="225"/>
      <c r="AB772" s="225"/>
      <c r="AC772" s="225"/>
      <c r="AD772" s="228">
        <f>E772+F772+H772+J772+L772+N772+P772+R772+T772+V772+X772+Z772+AB772-G772-I772-K772-M772-O772-Q772-S772-U772-W772-Y772-AA772-AC772</f>
        <v>0</v>
      </c>
      <c r="AE772" s="246"/>
      <c r="AF772" s="240"/>
      <c r="AG772" s="240"/>
      <c r="AH772" s="240"/>
      <c r="AI772" s="240"/>
      <c r="AJ772" s="240"/>
      <c r="AK772" s="240"/>
      <c r="AL772" s="240"/>
      <c r="AM772" s="240"/>
      <c r="AN772" s="240"/>
      <c r="AO772" s="240"/>
      <c r="AP772" s="240">
        <f>473397.13+889743.84+1053612.08+1019624.59+1218694.16+1061137.87+366045.23+44305.11</f>
        <v>6126560.010000001</v>
      </c>
      <c r="AQ772" s="240">
        <f>1376493.19+399838.5+83984.34+788722.52+1104211.52+1222519.9+1183083.78+1222519.9+1183083.78+197180.64+495872.76</f>
        <v>9257510.83</v>
      </c>
      <c r="AR772" s="240"/>
      <c r="AS772" s="241">
        <f>20151926.58-AO772-AP772-AQ772</f>
        <v>4767855.7399999965</v>
      </c>
    </row>
    <row r="773" spans="1:45" ht="25.5" customHeight="1" hidden="1">
      <c r="A773" s="232"/>
      <c r="B773" s="235"/>
      <c r="C773" s="24" t="s">
        <v>0</v>
      </c>
      <c r="D773" s="83" t="s">
        <v>243</v>
      </c>
      <c r="E773" s="251"/>
      <c r="F773" s="226"/>
      <c r="G773" s="226"/>
      <c r="H773" s="226"/>
      <c r="I773" s="226"/>
      <c r="J773" s="226"/>
      <c r="K773" s="226"/>
      <c r="L773" s="226"/>
      <c r="M773" s="226"/>
      <c r="N773" s="226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  <c r="AA773" s="226"/>
      <c r="AB773" s="226"/>
      <c r="AC773" s="226"/>
      <c r="AD773" s="229"/>
      <c r="AE773" s="246"/>
      <c r="AF773" s="240"/>
      <c r="AG773" s="240"/>
      <c r="AH773" s="240"/>
      <c r="AI773" s="240"/>
      <c r="AJ773" s="240"/>
      <c r="AK773" s="240"/>
      <c r="AL773" s="240"/>
      <c r="AM773" s="240"/>
      <c r="AN773" s="240"/>
      <c r="AO773" s="240"/>
      <c r="AP773" s="240"/>
      <c r="AQ773" s="240"/>
      <c r="AR773" s="240"/>
      <c r="AS773" s="241"/>
    </row>
    <row r="774" spans="1:45" ht="14.25" customHeight="1" hidden="1">
      <c r="A774" s="232"/>
      <c r="B774" s="235"/>
      <c r="C774" s="25" t="s">
        <v>36</v>
      </c>
      <c r="D774" s="20" t="s">
        <v>42</v>
      </c>
      <c r="E774" s="251"/>
      <c r="F774" s="226"/>
      <c r="G774" s="226"/>
      <c r="H774" s="226"/>
      <c r="I774" s="226"/>
      <c r="J774" s="226"/>
      <c r="K774" s="226"/>
      <c r="L774" s="226"/>
      <c r="M774" s="226"/>
      <c r="N774" s="226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  <c r="AA774" s="226"/>
      <c r="AB774" s="226"/>
      <c r="AC774" s="226"/>
      <c r="AD774" s="229"/>
      <c r="AE774" s="246"/>
      <c r="AF774" s="240"/>
      <c r="AG774" s="240"/>
      <c r="AH774" s="240"/>
      <c r="AI774" s="240"/>
      <c r="AJ774" s="240"/>
      <c r="AK774" s="240"/>
      <c r="AL774" s="240"/>
      <c r="AM774" s="240"/>
      <c r="AN774" s="240"/>
      <c r="AO774" s="240"/>
      <c r="AP774" s="240"/>
      <c r="AQ774" s="240"/>
      <c r="AR774" s="240"/>
      <c r="AS774" s="241"/>
    </row>
    <row r="775" spans="1:45" ht="14.25" customHeight="1" hidden="1">
      <c r="A775" s="232"/>
      <c r="B775" s="235"/>
      <c r="C775" s="24" t="s">
        <v>37</v>
      </c>
      <c r="D775" s="85"/>
      <c r="E775" s="251"/>
      <c r="F775" s="226"/>
      <c r="G775" s="226"/>
      <c r="H775" s="226"/>
      <c r="I775" s="226"/>
      <c r="J775" s="226"/>
      <c r="K775" s="226"/>
      <c r="L775" s="226"/>
      <c r="M775" s="226"/>
      <c r="N775" s="226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  <c r="AA775" s="226"/>
      <c r="AB775" s="226"/>
      <c r="AC775" s="226"/>
      <c r="AD775" s="229"/>
      <c r="AE775" s="246"/>
      <c r="AF775" s="240"/>
      <c r="AG775" s="240"/>
      <c r="AH775" s="240"/>
      <c r="AI775" s="240"/>
      <c r="AJ775" s="240"/>
      <c r="AK775" s="240"/>
      <c r="AL775" s="240"/>
      <c r="AM775" s="240"/>
      <c r="AN775" s="240"/>
      <c r="AO775" s="240"/>
      <c r="AP775" s="240"/>
      <c r="AQ775" s="240"/>
      <c r="AR775" s="240"/>
      <c r="AS775" s="241"/>
    </row>
    <row r="776" spans="1:45" ht="14.25" customHeight="1" hidden="1">
      <c r="A776" s="232"/>
      <c r="B776" s="235"/>
      <c r="C776" s="24" t="s">
        <v>38</v>
      </c>
      <c r="D776" s="21">
        <v>227000000</v>
      </c>
      <c r="E776" s="251"/>
      <c r="F776" s="226"/>
      <c r="G776" s="226"/>
      <c r="H776" s="226"/>
      <c r="I776" s="226"/>
      <c r="J776" s="226"/>
      <c r="K776" s="226"/>
      <c r="L776" s="226"/>
      <c r="M776" s="226"/>
      <c r="N776" s="226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  <c r="AA776" s="226"/>
      <c r="AB776" s="226"/>
      <c r="AC776" s="226"/>
      <c r="AD776" s="229"/>
      <c r="AE776" s="246"/>
      <c r="AF776" s="240"/>
      <c r="AG776" s="240"/>
      <c r="AH776" s="240"/>
      <c r="AI776" s="240"/>
      <c r="AJ776" s="240"/>
      <c r="AK776" s="240"/>
      <c r="AL776" s="240"/>
      <c r="AM776" s="240"/>
      <c r="AN776" s="240"/>
      <c r="AO776" s="240"/>
      <c r="AP776" s="240"/>
      <c r="AQ776" s="240"/>
      <c r="AR776" s="240"/>
      <c r="AS776" s="241"/>
    </row>
    <row r="777" spans="1:45" ht="14.25" customHeight="1" hidden="1">
      <c r="A777" s="232"/>
      <c r="B777" s="235"/>
      <c r="C777" s="25" t="s">
        <v>39</v>
      </c>
      <c r="D777" s="27">
        <v>44539</v>
      </c>
      <c r="E777" s="251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  <c r="AA777" s="226"/>
      <c r="AB777" s="226"/>
      <c r="AC777" s="226"/>
      <c r="AD777" s="229"/>
      <c r="AE777" s="246"/>
      <c r="AF777" s="240"/>
      <c r="AG777" s="240"/>
      <c r="AH777" s="240"/>
      <c r="AI777" s="240"/>
      <c r="AJ777" s="240"/>
      <c r="AK777" s="240"/>
      <c r="AL777" s="240"/>
      <c r="AM777" s="240"/>
      <c r="AN777" s="240"/>
      <c r="AO777" s="240"/>
      <c r="AP777" s="240"/>
      <c r="AQ777" s="240"/>
      <c r="AR777" s="240"/>
      <c r="AS777" s="241"/>
    </row>
    <row r="778" spans="1:45" ht="14.25" customHeight="1" hidden="1">
      <c r="A778" s="232"/>
      <c r="B778" s="235"/>
      <c r="C778" s="24" t="s">
        <v>1</v>
      </c>
      <c r="D778" s="175">
        <v>0.0855</v>
      </c>
      <c r="E778" s="251"/>
      <c r="F778" s="226"/>
      <c r="G778" s="226"/>
      <c r="H778" s="226"/>
      <c r="I778" s="226"/>
      <c r="J778" s="226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  <c r="AA778" s="226"/>
      <c r="AB778" s="226"/>
      <c r="AC778" s="226"/>
      <c r="AD778" s="229"/>
      <c r="AE778" s="246"/>
      <c r="AF778" s="240"/>
      <c r="AG778" s="240"/>
      <c r="AH778" s="240"/>
      <c r="AI778" s="240"/>
      <c r="AJ778" s="240"/>
      <c r="AK778" s="240"/>
      <c r="AL778" s="240"/>
      <c r="AM778" s="240"/>
      <c r="AN778" s="240"/>
      <c r="AO778" s="240"/>
      <c r="AP778" s="240"/>
      <c r="AQ778" s="240"/>
      <c r="AR778" s="240"/>
      <c r="AS778" s="241"/>
    </row>
    <row r="779" spans="1:45" ht="14.25" customHeight="1" hidden="1" thickBot="1">
      <c r="A779" s="233"/>
      <c r="B779" s="236"/>
      <c r="C779" s="26" t="s">
        <v>41</v>
      </c>
      <c r="D779" s="28"/>
      <c r="E779" s="252"/>
      <c r="F779" s="227"/>
      <c r="G779" s="227"/>
      <c r="H779" s="227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  <c r="AA779" s="227"/>
      <c r="AB779" s="227"/>
      <c r="AC779" s="227"/>
      <c r="AD779" s="230"/>
      <c r="AE779" s="246"/>
      <c r="AF779" s="240"/>
      <c r="AG779" s="240"/>
      <c r="AH779" s="240"/>
      <c r="AI779" s="240"/>
      <c r="AJ779" s="240"/>
      <c r="AK779" s="240"/>
      <c r="AL779" s="240"/>
      <c r="AM779" s="240"/>
      <c r="AN779" s="240"/>
      <c r="AO779" s="240"/>
      <c r="AP779" s="240"/>
      <c r="AQ779" s="240"/>
      <c r="AR779" s="240"/>
      <c r="AS779" s="241"/>
    </row>
    <row r="780" spans="1:45" ht="41.25" customHeight="1" hidden="1">
      <c r="A780" s="231" t="s">
        <v>288</v>
      </c>
      <c r="B780" s="234" t="s">
        <v>289</v>
      </c>
      <c r="C780" s="23" t="s">
        <v>40</v>
      </c>
      <c r="D780" s="211" t="s">
        <v>292</v>
      </c>
      <c r="E780" s="250">
        <v>0</v>
      </c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  <c r="AA780" s="225"/>
      <c r="AB780" s="225"/>
      <c r="AC780" s="225"/>
      <c r="AD780" s="228">
        <f>E780+F780+H780+J780+L780+N780+P780+R780+T780+V780+X780+Z780+AB780-G780-I780-K780-M780-O780-Q780-S780-U780-W780-Y780-AA780-AC780</f>
        <v>0</v>
      </c>
      <c r="AE780" s="246"/>
      <c r="AF780" s="240"/>
      <c r="AG780" s="240"/>
      <c r="AH780" s="240"/>
      <c r="AI780" s="240"/>
      <c r="AJ780" s="240"/>
      <c r="AK780" s="240"/>
      <c r="AL780" s="240"/>
      <c r="AM780" s="240"/>
      <c r="AN780" s="240"/>
      <c r="AO780" s="240"/>
      <c r="AP780" s="240">
        <f>50560.79+121345.9+125390.76+121345.9+125390.76+121345.9</f>
        <v>665380.01</v>
      </c>
      <c r="AQ780" s="240">
        <f>125667.82+125734.3+113566.46+105454.58+10139.86+60839.18+62867.15+60839.18+4055.95</f>
        <v>669164.4800000001</v>
      </c>
      <c r="AR780" s="240"/>
      <c r="AS780" s="241">
        <f>1478542.56-AO780-AP780-AQ780</f>
        <v>143998.06999999995</v>
      </c>
    </row>
    <row r="781" spans="1:45" ht="25.5" customHeight="1" hidden="1">
      <c r="A781" s="232"/>
      <c r="B781" s="235"/>
      <c r="C781" s="24" t="s">
        <v>0</v>
      </c>
      <c r="D781" s="83" t="s">
        <v>243</v>
      </c>
      <c r="E781" s="251"/>
      <c r="F781" s="226"/>
      <c r="G781" s="226"/>
      <c r="H781" s="226"/>
      <c r="I781" s="226"/>
      <c r="J781" s="226"/>
      <c r="K781" s="226"/>
      <c r="L781" s="226"/>
      <c r="M781" s="226"/>
      <c r="N781" s="226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/>
      <c r="Y781" s="226"/>
      <c r="Z781" s="226"/>
      <c r="AA781" s="226"/>
      <c r="AB781" s="226"/>
      <c r="AC781" s="226"/>
      <c r="AD781" s="229"/>
      <c r="AE781" s="246"/>
      <c r="AF781" s="240"/>
      <c r="AG781" s="240"/>
      <c r="AH781" s="240"/>
      <c r="AI781" s="240"/>
      <c r="AJ781" s="240"/>
      <c r="AK781" s="240"/>
      <c r="AL781" s="240"/>
      <c r="AM781" s="240"/>
      <c r="AN781" s="240"/>
      <c r="AO781" s="240"/>
      <c r="AP781" s="240"/>
      <c r="AQ781" s="240"/>
      <c r="AR781" s="240"/>
      <c r="AS781" s="241"/>
    </row>
    <row r="782" spans="1:45" ht="14.25" customHeight="1" hidden="1">
      <c r="A782" s="232"/>
      <c r="B782" s="235"/>
      <c r="C782" s="25" t="s">
        <v>36</v>
      </c>
      <c r="D782" s="20" t="s">
        <v>42</v>
      </c>
      <c r="E782" s="251"/>
      <c r="F782" s="226"/>
      <c r="G782" s="226"/>
      <c r="H782" s="226"/>
      <c r="I782" s="226"/>
      <c r="J782" s="226"/>
      <c r="K782" s="226"/>
      <c r="L782" s="226"/>
      <c r="M782" s="226"/>
      <c r="N782" s="226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/>
      <c r="Y782" s="226"/>
      <c r="Z782" s="226"/>
      <c r="AA782" s="226"/>
      <c r="AB782" s="226"/>
      <c r="AC782" s="226"/>
      <c r="AD782" s="229"/>
      <c r="AE782" s="246"/>
      <c r="AF782" s="240"/>
      <c r="AG782" s="240"/>
      <c r="AH782" s="240"/>
      <c r="AI782" s="240"/>
      <c r="AJ782" s="240"/>
      <c r="AK782" s="240"/>
      <c r="AL782" s="240"/>
      <c r="AM782" s="240"/>
      <c r="AN782" s="240"/>
      <c r="AO782" s="240"/>
      <c r="AP782" s="240"/>
      <c r="AQ782" s="240"/>
      <c r="AR782" s="240"/>
      <c r="AS782" s="241"/>
    </row>
    <row r="783" spans="1:45" ht="14.25" customHeight="1" hidden="1">
      <c r="A783" s="232"/>
      <c r="B783" s="235"/>
      <c r="C783" s="24" t="s">
        <v>37</v>
      </c>
      <c r="D783" s="85"/>
      <c r="E783" s="251"/>
      <c r="F783" s="226"/>
      <c r="G783" s="226"/>
      <c r="H783" s="226"/>
      <c r="I783" s="226"/>
      <c r="J783" s="226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  <c r="AA783" s="226"/>
      <c r="AB783" s="226"/>
      <c r="AC783" s="226"/>
      <c r="AD783" s="229"/>
      <c r="AE783" s="246"/>
      <c r="AF783" s="240"/>
      <c r="AG783" s="240"/>
      <c r="AH783" s="240"/>
      <c r="AI783" s="240"/>
      <c r="AJ783" s="240"/>
      <c r="AK783" s="240"/>
      <c r="AL783" s="240"/>
      <c r="AM783" s="240"/>
      <c r="AN783" s="240"/>
      <c r="AO783" s="240"/>
      <c r="AP783" s="240"/>
      <c r="AQ783" s="240"/>
      <c r="AR783" s="240"/>
      <c r="AS783" s="241"/>
    </row>
    <row r="784" spans="1:45" ht="14.25" customHeight="1" hidden="1">
      <c r="A784" s="232"/>
      <c r="B784" s="235"/>
      <c r="C784" s="24" t="s">
        <v>38</v>
      </c>
      <c r="D784" s="21">
        <v>20000000</v>
      </c>
      <c r="E784" s="251"/>
      <c r="F784" s="226"/>
      <c r="G784" s="226"/>
      <c r="H784" s="226"/>
      <c r="I784" s="226"/>
      <c r="J784" s="226"/>
      <c r="K784" s="226"/>
      <c r="L784" s="226"/>
      <c r="M784" s="226"/>
      <c r="N784" s="226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/>
      <c r="Y784" s="226"/>
      <c r="Z784" s="226"/>
      <c r="AA784" s="226"/>
      <c r="AB784" s="226"/>
      <c r="AC784" s="226"/>
      <c r="AD784" s="229"/>
      <c r="AE784" s="246"/>
      <c r="AF784" s="240"/>
      <c r="AG784" s="240"/>
      <c r="AH784" s="240"/>
      <c r="AI784" s="240"/>
      <c r="AJ784" s="240"/>
      <c r="AK784" s="240"/>
      <c r="AL784" s="240"/>
      <c r="AM784" s="240"/>
      <c r="AN784" s="240"/>
      <c r="AO784" s="240"/>
      <c r="AP784" s="240"/>
      <c r="AQ784" s="240"/>
      <c r="AR784" s="240"/>
      <c r="AS784" s="241"/>
    </row>
    <row r="785" spans="1:45" ht="14.25" customHeight="1" hidden="1">
      <c r="A785" s="232"/>
      <c r="B785" s="235"/>
      <c r="C785" s="25" t="s">
        <v>39</v>
      </c>
      <c r="D785" s="27">
        <v>44404</v>
      </c>
      <c r="E785" s="251"/>
      <c r="F785" s="226"/>
      <c r="G785" s="226"/>
      <c r="H785" s="226"/>
      <c r="I785" s="226"/>
      <c r="J785" s="226"/>
      <c r="K785" s="226"/>
      <c r="L785" s="226"/>
      <c r="M785" s="226"/>
      <c r="N785" s="226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/>
      <c r="Y785" s="226"/>
      <c r="Z785" s="226"/>
      <c r="AA785" s="226"/>
      <c r="AB785" s="226"/>
      <c r="AC785" s="226"/>
      <c r="AD785" s="229"/>
      <c r="AE785" s="246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  <c r="AP785" s="240"/>
      <c r="AQ785" s="240"/>
      <c r="AR785" s="240"/>
      <c r="AS785" s="241"/>
    </row>
    <row r="786" spans="1:45" ht="14.25" customHeight="1" hidden="1">
      <c r="A786" s="232"/>
      <c r="B786" s="235"/>
      <c r="C786" s="24" t="s">
        <v>1</v>
      </c>
      <c r="D786" s="175">
        <v>0.074021</v>
      </c>
      <c r="E786" s="251"/>
      <c r="F786" s="226"/>
      <c r="G786" s="226"/>
      <c r="H786" s="226"/>
      <c r="I786" s="226"/>
      <c r="J786" s="226"/>
      <c r="K786" s="226"/>
      <c r="L786" s="226"/>
      <c r="M786" s="226"/>
      <c r="N786" s="226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/>
      <c r="Y786" s="226"/>
      <c r="Z786" s="226"/>
      <c r="AA786" s="226"/>
      <c r="AB786" s="226"/>
      <c r="AC786" s="226"/>
      <c r="AD786" s="229"/>
      <c r="AE786" s="246"/>
      <c r="AF786" s="240"/>
      <c r="AG786" s="240"/>
      <c r="AH786" s="240"/>
      <c r="AI786" s="240"/>
      <c r="AJ786" s="240"/>
      <c r="AK786" s="240"/>
      <c r="AL786" s="240"/>
      <c r="AM786" s="240"/>
      <c r="AN786" s="240"/>
      <c r="AO786" s="240"/>
      <c r="AP786" s="240"/>
      <c r="AQ786" s="240"/>
      <c r="AR786" s="240"/>
      <c r="AS786" s="241"/>
    </row>
    <row r="787" spans="1:45" ht="14.25" customHeight="1" hidden="1" thickBot="1">
      <c r="A787" s="233"/>
      <c r="B787" s="236"/>
      <c r="C787" s="26" t="s">
        <v>41</v>
      </c>
      <c r="D787" s="28"/>
      <c r="E787" s="252"/>
      <c r="F787" s="227"/>
      <c r="G787" s="227"/>
      <c r="H787" s="227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  <c r="AA787" s="227"/>
      <c r="AB787" s="227"/>
      <c r="AC787" s="227"/>
      <c r="AD787" s="230"/>
      <c r="AE787" s="246"/>
      <c r="AF787" s="240"/>
      <c r="AG787" s="240"/>
      <c r="AH787" s="240"/>
      <c r="AI787" s="240"/>
      <c r="AJ787" s="240"/>
      <c r="AK787" s="240"/>
      <c r="AL787" s="240"/>
      <c r="AM787" s="240"/>
      <c r="AN787" s="240"/>
      <c r="AO787" s="240"/>
      <c r="AP787" s="240"/>
      <c r="AQ787" s="240"/>
      <c r="AR787" s="240"/>
      <c r="AS787" s="241"/>
    </row>
    <row r="788" spans="1:45" ht="41.25" customHeight="1">
      <c r="A788" s="231" t="s">
        <v>299</v>
      </c>
      <c r="B788" s="247" t="s">
        <v>301</v>
      </c>
      <c r="C788" s="23" t="s">
        <v>40</v>
      </c>
      <c r="D788" s="211" t="s">
        <v>300</v>
      </c>
      <c r="E788" s="250">
        <v>82828900</v>
      </c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>
        <v>82828900</v>
      </c>
      <c r="R788" s="225"/>
      <c r="S788" s="225"/>
      <c r="T788" s="225"/>
      <c r="U788" s="225"/>
      <c r="V788" s="225"/>
      <c r="W788" s="225"/>
      <c r="X788" s="225"/>
      <c r="Y788" s="225"/>
      <c r="Z788" s="225"/>
      <c r="AA788" s="225"/>
      <c r="AB788" s="225"/>
      <c r="AC788" s="225"/>
      <c r="AD788" s="228">
        <f>E788+F788+H788+J788+L788+N788+P788+R788+T788+V788+X788+Z788+AB788-G788-I788-K788-M788-O788-Q788-S788-U788-W788-Y788-AA788-AC788</f>
        <v>0</v>
      </c>
      <c r="AE788" s="246"/>
      <c r="AF788" s="240"/>
      <c r="AG788" s="240"/>
      <c r="AH788" s="240"/>
      <c r="AI788" s="240"/>
      <c r="AJ788" s="240"/>
      <c r="AK788" s="240"/>
      <c r="AL788" s="240"/>
      <c r="AM788" s="240"/>
      <c r="AN788" s="240"/>
      <c r="AO788" s="240"/>
      <c r="AP788" s="240">
        <f>50560.79+121345.9+125390.76+121345.9+125390.76+121345.9</f>
        <v>665380.01</v>
      </c>
      <c r="AQ788" s="240">
        <f>0+562956.16+569259.37+548576.94+566862.84+548576.94</f>
        <v>2796232.25</v>
      </c>
      <c r="AR788" s="240">
        <f>566862.84+566862.84+512005.14+566862.84+548576.94+566862.84+54857.69</f>
        <v>3382891.1299999994</v>
      </c>
      <c r="AS788" s="241">
        <f>13821788.06-AO788-AP788-AQ788-AR788</f>
        <v>6977284.670000002</v>
      </c>
    </row>
    <row r="789" spans="1:45" ht="18.75" customHeight="1">
      <c r="A789" s="232"/>
      <c r="B789" s="248"/>
      <c r="C789" s="24" t="s">
        <v>0</v>
      </c>
      <c r="D789" s="83" t="s">
        <v>179</v>
      </c>
      <c r="E789" s="251"/>
      <c r="F789" s="226"/>
      <c r="G789" s="226"/>
      <c r="H789" s="226"/>
      <c r="I789" s="226"/>
      <c r="J789" s="226"/>
      <c r="K789" s="226"/>
      <c r="L789" s="226"/>
      <c r="M789" s="226"/>
      <c r="N789" s="226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/>
      <c r="Y789" s="226"/>
      <c r="Z789" s="226"/>
      <c r="AA789" s="226"/>
      <c r="AB789" s="226"/>
      <c r="AC789" s="226"/>
      <c r="AD789" s="229"/>
      <c r="AE789" s="246"/>
      <c r="AF789" s="240"/>
      <c r="AG789" s="240"/>
      <c r="AH789" s="240"/>
      <c r="AI789" s="240"/>
      <c r="AJ789" s="240"/>
      <c r="AK789" s="240"/>
      <c r="AL789" s="240"/>
      <c r="AM789" s="240"/>
      <c r="AN789" s="240"/>
      <c r="AO789" s="240"/>
      <c r="AP789" s="240"/>
      <c r="AQ789" s="240"/>
      <c r="AR789" s="240"/>
      <c r="AS789" s="241"/>
    </row>
    <row r="790" spans="1:45" ht="14.25" customHeight="1">
      <c r="A790" s="232"/>
      <c r="B790" s="248"/>
      <c r="C790" s="25" t="s">
        <v>36</v>
      </c>
      <c r="D790" s="20" t="s">
        <v>42</v>
      </c>
      <c r="E790" s="251"/>
      <c r="F790" s="226"/>
      <c r="G790" s="226"/>
      <c r="H790" s="226"/>
      <c r="I790" s="226"/>
      <c r="J790" s="226"/>
      <c r="K790" s="226"/>
      <c r="L790" s="226"/>
      <c r="M790" s="226"/>
      <c r="N790" s="226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/>
      <c r="Y790" s="226"/>
      <c r="Z790" s="226"/>
      <c r="AA790" s="226"/>
      <c r="AB790" s="226"/>
      <c r="AC790" s="226"/>
      <c r="AD790" s="229"/>
      <c r="AE790" s="246"/>
      <c r="AF790" s="240"/>
      <c r="AG790" s="240"/>
      <c r="AH790" s="240"/>
      <c r="AI790" s="240"/>
      <c r="AJ790" s="240"/>
      <c r="AK790" s="240"/>
      <c r="AL790" s="240"/>
      <c r="AM790" s="240"/>
      <c r="AN790" s="240"/>
      <c r="AO790" s="240"/>
      <c r="AP790" s="240"/>
      <c r="AQ790" s="240"/>
      <c r="AR790" s="240"/>
      <c r="AS790" s="241"/>
    </row>
    <row r="791" spans="1:45" ht="14.25" customHeight="1">
      <c r="A791" s="232"/>
      <c r="B791" s="248"/>
      <c r="C791" s="24" t="s">
        <v>37</v>
      </c>
      <c r="D791" s="85"/>
      <c r="E791" s="251"/>
      <c r="F791" s="226"/>
      <c r="G791" s="226"/>
      <c r="H791" s="226"/>
      <c r="I791" s="226"/>
      <c r="J791" s="226"/>
      <c r="K791" s="226"/>
      <c r="L791" s="226"/>
      <c r="M791" s="226"/>
      <c r="N791" s="226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/>
      <c r="Y791" s="226"/>
      <c r="Z791" s="226"/>
      <c r="AA791" s="226"/>
      <c r="AB791" s="226"/>
      <c r="AC791" s="226"/>
      <c r="AD791" s="229"/>
      <c r="AE791" s="246"/>
      <c r="AF791" s="240"/>
      <c r="AG791" s="240"/>
      <c r="AH791" s="240"/>
      <c r="AI791" s="240"/>
      <c r="AJ791" s="240"/>
      <c r="AK791" s="240"/>
      <c r="AL791" s="240"/>
      <c r="AM791" s="240"/>
      <c r="AN791" s="240"/>
      <c r="AO791" s="240"/>
      <c r="AP791" s="240"/>
      <c r="AQ791" s="240"/>
      <c r="AR791" s="240"/>
      <c r="AS791" s="241"/>
    </row>
    <row r="792" spans="1:45" ht="14.25" customHeight="1">
      <c r="A792" s="232"/>
      <c r="B792" s="248"/>
      <c r="C792" s="24" t="s">
        <v>38</v>
      </c>
      <c r="D792" s="21">
        <v>172000000</v>
      </c>
      <c r="E792" s="251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26"/>
      <c r="AA792" s="226"/>
      <c r="AB792" s="226"/>
      <c r="AC792" s="226"/>
      <c r="AD792" s="229"/>
      <c r="AE792" s="246"/>
      <c r="AF792" s="240"/>
      <c r="AG792" s="240"/>
      <c r="AH792" s="240"/>
      <c r="AI792" s="240"/>
      <c r="AJ792" s="240"/>
      <c r="AK792" s="240"/>
      <c r="AL792" s="240"/>
      <c r="AM792" s="240"/>
      <c r="AN792" s="240"/>
      <c r="AO792" s="240"/>
      <c r="AP792" s="240"/>
      <c r="AQ792" s="240"/>
      <c r="AR792" s="240"/>
      <c r="AS792" s="241"/>
    </row>
    <row r="793" spans="1:45" ht="14.25" customHeight="1">
      <c r="A793" s="232"/>
      <c r="B793" s="248"/>
      <c r="C793" s="25" t="s">
        <v>39</v>
      </c>
      <c r="D793" s="27">
        <v>44900</v>
      </c>
      <c r="E793" s="251"/>
      <c r="F793" s="226"/>
      <c r="G793" s="226"/>
      <c r="H793" s="226"/>
      <c r="I793" s="226"/>
      <c r="J793" s="226"/>
      <c r="K793" s="226"/>
      <c r="L793" s="226"/>
      <c r="M793" s="226"/>
      <c r="N793" s="226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/>
      <c r="Y793" s="226"/>
      <c r="Z793" s="226"/>
      <c r="AA793" s="226"/>
      <c r="AB793" s="226"/>
      <c r="AC793" s="226"/>
      <c r="AD793" s="229"/>
      <c r="AE793" s="246"/>
      <c r="AF793" s="240"/>
      <c r="AG793" s="240"/>
      <c r="AH793" s="240"/>
      <c r="AI793" s="240"/>
      <c r="AJ793" s="240"/>
      <c r="AK793" s="240"/>
      <c r="AL793" s="240"/>
      <c r="AM793" s="240"/>
      <c r="AN793" s="240"/>
      <c r="AO793" s="240"/>
      <c r="AP793" s="240"/>
      <c r="AQ793" s="240"/>
      <c r="AR793" s="240"/>
      <c r="AS793" s="241"/>
    </row>
    <row r="794" spans="1:45" ht="14.25" customHeight="1">
      <c r="A794" s="232"/>
      <c r="B794" s="248"/>
      <c r="C794" s="24" t="s">
        <v>1</v>
      </c>
      <c r="D794" s="175">
        <v>0.08058</v>
      </c>
      <c r="E794" s="251"/>
      <c r="F794" s="226"/>
      <c r="G794" s="226"/>
      <c r="H794" s="226"/>
      <c r="I794" s="226"/>
      <c r="J794" s="226"/>
      <c r="K794" s="226"/>
      <c r="L794" s="226"/>
      <c r="M794" s="226"/>
      <c r="N794" s="226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/>
      <c r="Y794" s="226"/>
      <c r="Z794" s="226"/>
      <c r="AA794" s="226"/>
      <c r="AB794" s="226"/>
      <c r="AC794" s="226"/>
      <c r="AD794" s="229"/>
      <c r="AE794" s="246"/>
      <c r="AF794" s="240"/>
      <c r="AG794" s="240"/>
      <c r="AH794" s="240"/>
      <c r="AI794" s="240"/>
      <c r="AJ794" s="240"/>
      <c r="AK794" s="240"/>
      <c r="AL794" s="240"/>
      <c r="AM794" s="240"/>
      <c r="AN794" s="240"/>
      <c r="AO794" s="240"/>
      <c r="AP794" s="240"/>
      <c r="AQ794" s="240"/>
      <c r="AR794" s="240"/>
      <c r="AS794" s="241"/>
    </row>
    <row r="795" spans="1:45" ht="14.25" customHeight="1" thickBot="1">
      <c r="A795" s="233"/>
      <c r="B795" s="249"/>
      <c r="C795" s="26" t="s">
        <v>41</v>
      </c>
      <c r="D795" s="28"/>
      <c r="E795" s="252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  <c r="AA795" s="227"/>
      <c r="AB795" s="227"/>
      <c r="AC795" s="227"/>
      <c r="AD795" s="230"/>
      <c r="AE795" s="246"/>
      <c r="AF795" s="240"/>
      <c r="AG795" s="240"/>
      <c r="AH795" s="240"/>
      <c r="AI795" s="240"/>
      <c r="AJ795" s="240"/>
      <c r="AK795" s="240"/>
      <c r="AL795" s="240"/>
      <c r="AM795" s="240"/>
      <c r="AN795" s="240"/>
      <c r="AO795" s="240"/>
      <c r="AP795" s="240"/>
      <c r="AQ795" s="240"/>
      <c r="AR795" s="240"/>
      <c r="AS795" s="241"/>
    </row>
    <row r="796" spans="1:45" s="34" customFormat="1" ht="14.25">
      <c r="A796" s="33"/>
      <c r="B796" s="33"/>
      <c r="C796" s="242" t="s">
        <v>57</v>
      </c>
      <c r="D796" s="243"/>
      <c r="E796" s="126">
        <f>SUM(E596:E795)</f>
        <v>82828900</v>
      </c>
      <c r="F796" s="126">
        <f>SUM(F524:F795)</f>
        <v>0</v>
      </c>
      <c r="G796" s="126">
        <f aca="true" t="shared" si="2" ref="G796:AC796">SUM(G596:G795)</f>
        <v>0</v>
      </c>
      <c r="H796" s="126">
        <f t="shared" si="2"/>
        <v>0</v>
      </c>
      <c r="I796" s="126">
        <f t="shared" si="2"/>
        <v>0</v>
      </c>
      <c r="J796" s="126">
        <f t="shared" si="2"/>
        <v>0</v>
      </c>
      <c r="K796" s="126">
        <f t="shared" si="2"/>
        <v>0</v>
      </c>
      <c r="L796" s="126">
        <f t="shared" si="2"/>
        <v>0</v>
      </c>
      <c r="M796" s="126">
        <f t="shared" si="2"/>
        <v>0</v>
      </c>
      <c r="N796" s="126">
        <f t="shared" si="2"/>
        <v>0</v>
      </c>
      <c r="O796" s="126">
        <f t="shared" si="2"/>
        <v>0</v>
      </c>
      <c r="P796" s="126">
        <f t="shared" si="2"/>
        <v>0</v>
      </c>
      <c r="Q796" s="126">
        <f t="shared" si="2"/>
        <v>82828900</v>
      </c>
      <c r="R796" s="126">
        <f t="shared" si="2"/>
        <v>0</v>
      </c>
      <c r="S796" s="126">
        <f t="shared" si="2"/>
        <v>0</v>
      </c>
      <c r="T796" s="126">
        <f t="shared" si="2"/>
        <v>0</v>
      </c>
      <c r="U796" s="126">
        <f t="shared" si="2"/>
        <v>0</v>
      </c>
      <c r="V796" s="126">
        <f t="shared" si="2"/>
        <v>0</v>
      </c>
      <c r="W796" s="126">
        <f t="shared" si="2"/>
        <v>0</v>
      </c>
      <c r="X796" s="126">
        <f t="shared" si="2"/>
        <v>0</v>
      </c>
      <c r="Y796" s="126">
        <f t="shared" si="2"/>
        <v>0</v>
      </c>
      <c r="Z796" s="126">
        <f t="shared" si="2"/>
        <v>0</v>
      </c>
      <c r="AA796" s="126">
        <f t="shared" si="2"/>
        <v>0</v>
      </c>
      <c r="AB796" s="126">
        <f t="shared" si="2"/>
        <v>0</v>
      </c>
      <c r="AC796" s="126">
        <f t="shared" si="2"/>
        <v>0</v>
      </c>
      <c r="AD796" s="126">
        <f>SUM(AD708:AL795)</f>
        <v>0</v>
      </c>
      <c r="AE796" s="126">
        <f>SUM(AE524:AE795)</f>
        <v>2387522.9</v>
      </c>
      <c r="AF796" s="126">
        <f>SUM(AF524:AF795)</f>
        <v>4382578.87</v>
      </c>
      <c r="AG796" s="126">
        <f>SUM(AG524:AG795)</f>
        <v>2339691.8</v>
      </c>
      <c r="AH796" s="126">
        <f>SUM(AH524:AH795)</f>
        <v>3012168.95</v>
      </c>
      <c r="AI796" s="126">
        <f>SUM(AI524:AI795)</f>
        <v>4322814.170000001</v>
      </c>
      <c r="AJ796" s="126">
        <f aca="true" t="shared" si="3" ref="AJ796:AR796">SUM(AJ596:AJ795)</f>
        <v>7965324.01</v>
      </c>
      <c r="AK796" s="126">
        <f t="shared" si="3"/>
        <v>15189380.4</v>
      </c>
      <c r="AL796" s="126">
        <f t="shared" si="3"/>
        <v>19015538.94</v>
      </c>
      <c r="AM796" s="126">
        <f t="shared" si="3"/>
        <v>18758839.900000002</v>
      </c>
      <c r="AN796" s="126">
        <f t="shared" si="3"/>
        <v>17250460.43</v>
      </c>
      <c r="AO796" s="126">
        <f t="shared" si="3"/>
        <v>19183301.64</v>
      </c>
      <c r="AP796" s="126">
        <f t="shared" si="3"/>
        <v>21518692.980000004</v>
      </c>
      <c r="AQ796" s="126">
        <f t="shared" si="3"/>
        <v>12722907.56</v>
      </c>
      <c r="AR796" s="126">
        <f t="shared" si="3"/>
        <v>3382891.1299999994</v>
      </c>
      <c r="AS796" s="154"/>
    </row>
    <row r="797" spans="1:44" ht="10.5" customHeight="1" thickBot="1">
      <c r="A797" s="47"/>
      <c r="B797" s="47"/>
      <c r="C797" s="18"/>
      <c r="D797" s="8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  <c r="AR797" s="149"/>
    </row>
    <row r="798" spans="1:45" s="121" customFormat="1" ht="15">
      <c r="A798" s="119"/>
      <c r="B798" s="120"/>
      <c r="C798" s="244" t="s">
        <v>54</v>
      </c>
      <c r="D798" s="245"/>
      <c r="E798" s="133">
        <f aca="true" t="shared" si="4" ref="E798:AR798">SUM(E796,E521,E66)</f>
        <v>236162950</v>
      </c>
      <c r="F798" s="133">
        <f t="shared" si="4"/>
        <v>0</v>
      </c>
      <c r="G798" s="133">
        <f t="shared" si="4"/>
        <v>0</v>
      </c>
      <c r="H798" s="133">
        <f t="shared" si="4"/>
        <v>0</v>
      </c>
      <c r="I798" s="133">
        <f t="shared" si="4"/>
        <v>0</v>
      </c>
      <c r="J798" s="133">
        <f t="shared" si="4"/>
        <v>15000000</v>
      </c>
      <c r="K798" s="133">
        <f t="shared" si="4"/>
        <v>0</v>
      </c>
      <c r="L798" s="133">
        <f t="shared" si="4"/>
        <v>0</v>
      </c>
      <c r="M798" s="133">
        <f t="shared" si="4"/>
        <v>0</v>
      </c>
      <c r="N798" s="133">
        <f t="shared" si="4"/>
        <v>20000000</v>
      </c>
      <c r="O798" s="133">
        <f t="shared" si="4"/>
        <v>0</v>
      </c>
      <c r="P798" s="133">
        <f t="shared" si="4"/>
        <v>82828900</v>
      </c>
      <c r="Q798" s="133">
        <f t="shared" si="4"/>
        <v>117828900</v>
      </c>
      <c r="R798" s="133">
        <f t="shared" si="4"/>
        <v>0</v>
      </c>
      <c r="S798" s="133">
        <f t="shared" si="4"/>
        <v>0</v>
      </c>
      <c r="T798" s="133">
        <f t="shared" si="4"/>
        <v>0</v>
      </c>
      <c r="U798" s="133">
        <f t="shared" si="4"/>
        <v>0</v>
      </c>
      <c r="V798" s="133">
        <f t="shared" si="4"/>
        <v>0</v>
      </c>
      <c r="W798" s="133">
        <f t="shared" si="4"/>
        <v>0</v>
      </c>
      <c r="X798" s="133">
        <f t="shared" si="4"/>
        <v>0</v>
      </c>
      <c r="Y798" s="133">
        <f t="shared" si="4"/>
        <v>0</v>
      </c>
      <c r="Z798" s="133">
        <f t="shared" si="4"/>
        <v>10000000</v>
      </c>
      <c r="AA798" s="133">
        <f t="shared" si="4"/>
        <v>0</v>
      </c>
      <c r="AB798" s="133">
        <f t="shared" si="4"/>
        <v>0</v>
      </c>
      <c r="AC798" s="133">
        <f t="shared" si="4"/>
        <v>10000000</v>
      </c>
      <c r="AD798" s="133">
        <f t="shared" si="4"/>
        <v>236162950</v>
      </c>
      <c r="AE798" s="150">
        <f t="shared" si="4"/>
        <v>2401392.76</v>
      </c>
      <c r="AF798" s="150">
        <f t="shared" si="4"/>
        <v>4720078.87</v>
      </c>
      <c r="AG798" s="150">
        <f t="shared" si="4"/>
        <v>2677191.8</v>
      </c>
      <c r="AH798" s="150">
        <f t="shared" si="4"/>
        <v>4354546</v>
      </c>
      <c r="AI798" s="150">
        <f t="shared" si="4"/>
        <v>7067567.590000001</v>
      </c>
      <c r="AJ798" s="150">
        <f t="shared" si="4"/>
        <v>10022483.7</v>
      </c>
      <c r="AK798" s="150">
        <f t="shared" si="4"/>
        <v>15882886.82</v>
      </c>
      <c r="AL798" s="150">
        <f t="shared" si="4"/>
        <v>19124312.740000002</v>
      </c>
      <c r="AM798" s="150">
        <f t="shared" si="4"/>
        <v>18866256.87</v>
      </c>
      <c r="AN798" s="150">
        <f t="shared" si="4"/>
        <v>17354407.5</v>
      </c>
      <c r="AO798" s="150">
        <f t="shared" si="4"/>
        <v>19283440.82</v>
      </c>
      <c r="AP798" s="150">
        <f t="shared" si="4"/>
        <v>21604583.250000004</v>
      </c>
      <c r="AQ798" s="150">
        <f t="shared" si="4"/>
        <v>12839316.46</v>
      </c>
      <c r="AR798" s="150">
        <f t="shared" si="4"/>
        <v>3597887.7399999993</v>
      </c>
      <c r="AS798" s="157"/>
    </row>
    <row r="799" spans="1:30" ht="3" customHeight="1" thickBot="1">
      <c r="A799" s="48"/>
      <c r="B799" s="96"/>
      <c r="C799" s="49"/>
      <c r="D799" s="50"/>
      <c r="E799" s="14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4"/>
    </row>
    <row r="800" spans="42:43" ht="12.75">
      <c r="AP800" s="131">
        <v>20939203.24</v>
      </c>
      <c r="AQ800" s="131">
        <v>12239144.86</v>
      </c>
    </row>
    <row r="801" spans="37:44" ht="12.75">
      <c r="AK801" s="170">
        <v>15883466.25</v>
      </c>
      <c r="AL801" s="170">
        <v>19124312.74</v>
      </c>
      <c r="AM801" s="170"/>
      <c r="AN801" s="170">
        <v>17354407.5</v>
      </c>
      <c r="AO801" s="170">
        <v>19278728.5</v>
      </c>
      <c r="AP801" s="170">
        <f>AP800-AP798</f>
        <v>-665380.0100000054</v>
      </c>
      <c r="AQ801" s="215">
        <f>AQ798-AQ800</f>
        <v>600171.6000000015</v>
      </c>
      <c r="AR801" s="215"/>
    </row>
    <row r="802" spans="4:44" ht="15">
      <c r="D802" s="78" t="s">
        <v>93</v>
      </c>
      <c r="M802" s="93"/>
      <c r="N802" s="93"/>
      <c r="O802" s="82" t="s">
        <v>307</v>
      </c>
      <c r="AK802" s="173">
        <f>AK801-AK798</f>
        <v>579.429999999702</v>
      </c>
      <c r="AL802" s="173">
        <f>AL801-AL798</f>
        <v>0</v>
      </c>
      <c r="AM802" s="173"/>
      <c r="AN802" s="173">
        <f>AN801-AN798</f>
        <v>0</v>
      </c>
      <c r="AO802" s="173">
        <f>AO801-AO798</f>
        <v>-4712.320000000298</v>
      </c>
      <c r="AP802" s="173"/>
      <c r="AQ802" s="173"/>
      <c r="AR802" s="173"/>
    </row>
    <row r="803" spans="4:15" ht="15">
      <c r="D803" s="78"/>
      <c r="O803" s="82"/>
    </row>
    <row r="804" spans="4:15" ht="15">
      <c r="D804" s="212" t="s">
        <v>94</v>
      </c>
      <c r="M804" s="93"/>
      <c r="N804" s="93"/>
      <c r="O804" s="82" t="s">
        <v>68</v>
      </c>
    </row>
    <row r="805" spans="27:33" ht="15">
      <c r="AA805" t="s">
        <v>200</v>
      </c>
      <c r="AB805" s="171">
        <f>SUM(AB521,Z521,X521,V521,T521,R521,P521,N521,L521,J521,H521,F521)</f>
        <v>127828900</v>
      </c>
      <c r="AC805" s="171">
        <f>SUM(AC521,AA521,Y521,W521,U521,S521,Q521,O521,M521,K521,I521,G521)</f>
        <v>45000000</v>
      </c>
      <c r="AD805" s="171">
        <f>AB805-AC805</f>
        <v>82828900</v>
      </c>
      <c r="AG805" s="172">
        <f>AD521-E521-AD805</f>
        <v>0</v>
      </c>
    </row>
    <row r="806" spans="27:33" ht="15">
      <c r="AA806" t="s">
        <v>199</v>
      </c>
      <c r="AB806" s="171">
        <f>SUM(AB796,Z796,X796,V796,T796,R796,P796,N796,L796,J796,H796,F796)</f>
        <v>0</v>
      </c>
      <c r="AC806" s="171">
        <f>SUM(AC796,AA796,Y796,W796,U796,S796,Q796,O796,M796,K796,I796,G796)</f>
        <v>82828900</v>
      </c>
      <c r="AD806" s="171">
        <f>AB806-AC806</f>
        <v>-82828900</v>
      </c>
      <c r="AG806" s="172">
        <f>AD796-E796-AD806</f>
        <v>0</v>
      </c>
    </row>
    <row r="807" spans="27:33" ht="15">
      <c r="AA807" t="s">
        <v>198</v>
      </c>
      <c r="AB807" s="171">
        <f>SUM(AB798,Z798,X798,V798,T798,R798,P798,N798,L798,J798,H798,F798)</f>
        <v>127828900</v>
      </c>
      <c r="AC807" s="171">
        <f>SUM(AC798,AA798,Y798,W798,U798,S798,Q798,O798,M798,K798,I798,G798)</f>
        <v>127828900</v>
      </c>
      <c r="AD807" s="171">
        <f>AB807-AC807</f>
        <v>0</v>
      </c>
      <c r="AG807" s="172">
        <f>AD798-E798-AD807</f>
        <v>0</v>
      </c>
    </row>
    <row r="808" spans="28:33" ht="12.75">
      <c r="AB808" t="s">
        <v>201</v>
      </c>
      <c r="AC808" t="s">
        <v>202</v>
      </c>
      <c r="AD808" s="122" t="s">
        <v>203</v>
      </c>
      <c r="AG808" s="131" t="s">
        <v>204</v>
      </c>
    </row>
    <row r="809" ht="12.75">
      <c r="AD809" s="174">
        <f>AD798-E798-AD807</f>
        <v>0</v>
      </c>
    </row>
  </sheetData>
  <sheetProtection/>
  <mergeCells count="2944">
    <mergeCell ref="A5:A6"/>
    <mergeCell ref="B5:B6"/>
    <mergeCell ref="C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N17:N24"/>
    <mergeCell ref="O17:O24"/>
    <mergeCell ref="P17:P24"/>
    <mergeCell ref="Q17:Q24"/>
    <mergeCell ref="R17:R24"/>
    <mergeCell ref="S17:S24"/>
    <mergeCell ref="T17:T24"/>
    <mergeCell ref="U17:U24"/>
    <mergeCell ref="V17:V24"/>
    <mergeCell ref="W17:W24"/>
    <mergeCell ref="X17:X24"/>
    <mergeCell ref="Y17:Y24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N41:N48"/>
    <mergeCell ref="O41:O48"/>
    <mergeCell ref="P41:P48"/>
    <mergeCell ref="Q41:Q48"/>
    <mergeCell ref="R41:R48"/>
    <mergeCell ref="S41:S48"/>
    <mergeCell ref="T41:T48"/>
    <mergeCell ref="U41:U48"/>
    <mergeCell ref="V41:V48"/>
    <mergeCell ref="W41:W48"/>
    <mergeCell ref="X41:X48"/>
    <mergeCell ref="Y41:Y48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K57:K64"/>
    <mergeCell ref="L57:L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J69:J76"/>
    <mergeCell ref="K69:K76"/>
    <mergeCell ref="L69:L76"/>
    <mergeCell ref="M69:M76"/>
    <mergeCell ref="N69:N76"/>
    <mergeCell ref="O69:O76"/>
    <mergeCell ref="P69:P76"/>
    <mergeCell ref="Q69:Q76"/>
    <mergeCell ref="R69:R76"/>
    <mergeCell ref="S69:S76"/>
    <mergeCell ref="T69:T76"/>
    <mergeCell ref="U69:U76"/>
    <mergeCell ref="V69:V76"/>
    <mergeCell ref="W69:W76"/>
    <mergeCell ref="X69:X76"/>
    <mergeCell ref="Y69:Y76"/>
    <mergeCell ref="Z69:Z76"/>
    <mergeCell ref="AA69:AA76"/>
    <mergeCell ref="AB69:AB76"/>
    <mergeCell ref="AC69:AC76"/>
    <mergeCell ref="AD69:AD76"/>
    <mergeCell ref="AE69:AE76"/>
    <mergeCell ref="AF69:AF76"/>
    <mergeCell ref="AG69:AG76"/>
    <mergeCell ref="AH69:AH76"/>
    <mergeCell ref="AI69:AI76"/>
    <mergeCell ref="AJ69:AJ76"/>
    <mergeCell ref="AK69:AK76"/>
    <mergeCell ref="AL69:AL76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L77:L84"/>
    <mergeCell ref="M77:M84"/>
    <mergeCell ref="N77:N84"/>
    <mergeCell ref="O77:O84"/>
    <mergeCell ref="P77:P84"/>
    <mergeCell ref="Q77:Q84"/>
    <mergeCell ref="R77:R84"/>
    <mergeCell ref="S77:S84"/>
    <mergeCell ref="T77:T84"/>
    <mergeCell ref="U77:U84"/>
    <mergeCell ref="V77:V84"/>
    <mergeCell ref="W77:W84"/>
    <mergeCell ref="X77:X84"/>
    <mergeCell ref="Y77:Y84"/>
    <mergeCell ref="Z77:Z84"/>
    <mergeCell ref="AA77:AA84"/>
    <mergeCell ref="AB77:AB84"/>
    <mergeCell ref="AC77:AC84"/>
    <mergeCell ref="AD77:AD84"/>
    <mergeCell ref="AE77:AE84"/>
    <mergeCell ref="AF77:AF84"/>
    <mergeCell ref="AG77:AG84"/>
    <mergeCell ref="AH77:AH84"/>
    <mergeCell ref="AI77:AI84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E85:AE92"/>
    <mergeCell ref="AF85:AF92"/>
    <mergeCell ref="AG85:AG92"/>
    <mergeCell ref="AH85:AH92"/>
    <mergeCell ref="AI85:AI92"/>
    <mergeCell ref="AJ85:AJ92"/>
    <mergeCell ref="AK85:AK92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P93:P100"/>
    <mergeCell ref="Q93:Q100"/>
    <mergeCell ref="R93:R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A93:AA100"/>
    <mergeCell ref="AB93:AB100"/>
    <mergeCell ref="AC93:AC100"/>
    <mergeCell ref="AD93:AD100"/>
    <mergeCell ref="AE93:AE100"/>
    <mergeCell ref="AF93:AF100"/>
    <mergeCell ref="AG93:AG100"/>
    <mergeCell ref="AH93:AH100"/>
    <mergeCell ref="AI93:AI100"/>
    <mergeCell ref="AJ93:AJ100"/>
    <mergeCell ref="AK93:AK100"/>
    <mergeCell ref="AL93:AL100"/>
    <mergeCell ref="AM93:AM100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AB101:AB108"/>
    <mergeCell ref="AC101:AC108"/>
    <mergeCell ref="AD101:AD108"/>
    <mergeCell ref="AE101:AE108"/>
    <mergeCell ref="AF101:AF108"/>
    <mergeCell ref="AG101:AG108"/>
    <mergeCell ref="AH101:AH108"/>
    <mergeCell ref="AI101:AI108"/>
    <mergeCell ref="AJ101:AJ108"/>
    <mergeCell ref="AK101:AK108"/>
    <mergeCell ref="AL101:AL108"/>
    <mergeCell ref="AM101:AM108"/>
    <mergeCell ref="AN101:AN108"/>
    <mergeCell ref="AO101:AO108"/>
    <mergeCell ref="AP101:AP108"/>
    <mergeCell ref="AQ101:AQ108"/>
    <mergeCell ref="AR101:AR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E109:AE116"/>
    <mergeCell ref="AF109:AF116"/>
    <mergeCell ref="AG109:AG116"/>
    <mergeCell ref="AH109:AH116"/>
    <mergeCell ref="AI109:AI116"/>
    <mergeCell ref="AJ109:AJ116"/>
    <mergeCell ref="AK109:AK116"/>
    <mergeCell ref="AL109:AL116"/>
    <mergeCell ref="AM109:AM116"/>
    <mergeCell ref="AN109:AN116"/>
    <mergeCell ref="AO109:AO116"/>
    <mergeCell ref="AP109:AP116"/>
    <mergeCell ref="AQ109:AQ116"/>
    <mergeCell ref="AR109:AR11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E117:AE124"/>
    <mergeCell ref="AF117:AF124"/>
    <mergeCell ref="AG117:AG124"/>
    <mergeCell ref="AH117:AH124"/>
    <mergeCell ref="AI117:AI124"/>
    <mergeCell ref="AJ117:AJ124"/>
    <mergeCell ref="AK117:AK124"/>
    <mergeCell ref="AL117:AL124"/>
    <mergeCell ref="AM117:AM124"/>
    <mergeCell ref="AN117:AN124"/>
    <mergeCell ref="AO117:AO124"/>
    <mergeCell ref="AP117:AP124"/>
    <mergeCell ref="AQ117:AQ124"/>
    <mergeCell ref="AR117:AR124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E125:AE132"/>
    <mergeCell ref="AF125:AF132"/>
    <mergeCell ref="AG125:AG132"/>
    <mergeCell ref="AH125:AH132"/>
    <mergeCell ref="AI125:AI132"/>
    <mergeCell ref="AJ125:AJ132"/>
    <mergeCell ref="AK125:AK132"/>
    <mergeCell ref="AL125:AL132"/>
    <mergeCell ref="AM125:AM132"/>
    <mergeCell ref="AN125:AN132"/>
    <mergeCell ref="AO125:AO132"/>
    <mergeCell ref="AP125:AP132"/>
    <mergeCell ref="AQ125:AQ132"/>
    <mergeCell ref="AR125:AR13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E133:AE140"/>
    <mergeCell ref="AF133:AF140"/>
    <mergeCell ref="AG133:AG140"/>
    <mergeCell ref="AH133:AH140"/>
    <mergeCell ref="AI133:AI140"/>
    <mergeCell ref="AJ133:AJ140"/>
    <mergeCell ref="AK133:AK140"/>
    <mergeCell ref="AL133:AL140"/>
    <mergeCell ref="AM133:AM140"/>
    <mergeCell ref="AN133:AN140"/>
    <mergeCell ref="AO133:AO140"/>
    <mergeCell ref="AP133:AP140"/>
    <mergeCell ref="AQ133:AQ140"/>
    <mergeCell ref="AR133:AR14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E141:AE148"/>
    <mergeCell ref="AF141:AF148"/>
    <mergeCell ref="AG141:AG148"/>
    <mergeCell ref="AH141:AH148"/>
    <mergeCell ref="AI141:AI148"/>
    <mergeCell ref="AJ141:AJ148"/>
    <mergeCell ref="AK141:AK148"/>
    <mergeCell ref="AL141:AL148"/>
    <mergeCell ref="AM141:AM148"/>
    <mergeCell ref="AN141:AN148"/>
    <mergeCell ref="AO141:AO148"/>
    <mergeCell ref="AP141:AP148"/>
    <mergeCell ref="AQ141:AQ148"/>
    <mergeCell ref="AR141:AR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R149:AR15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E157:AE164"/>
    <mergeCell ref="AF157:AF164"/>
    <mergeCell ref="AG157:AG164"/>
    <mergeCell ref="AH157:AH164"/>
    <mergeCell ref="AI157:AI164"/>
    <mergeCell ref="AJ157:AJ164"/>
    <mergeCell ref="AK157:AK164"/>
    <mergeCell ref="AL157:AL164"/>
    <mergeCell ref="AM157:AM164"/>
    <mergeCell ref="AN157:AN164"/>
    <mergeCell ref="AO157:AO164"/>
    <mergeCell ref="AP157:AP164"/>
    <mergeCell ref="AQ157:AQ164"/>
    <mergeCell ref="AR157:AR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E165:AE172"/>
    <mergeCell ref="AF165:AF172"/>
    <mergeCell ref="AG165:AG172"/>
    <mergeCell ref="AH165:AH172"/>
    <mergeCell ref="AI165:AI172"/>
    <mergeCell ref="AJ165:AJ172"/>
    <mergeCell ref="AK165:AK172"/>
    <mergeCell ref="AL165:AL172"/>
    <mergeCell ref="AM165:AM172"/>
    <mergeCell ref="AN165:AN172"/>
    <mergeCell ref="AO165:AO172"/>
    <mergeCell ref="AP165:AP172"/>
    <mergeCell ref="AQ165:AQ172"/>
    <mergeCell ref="AR165:AR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E173:AE180"/>
    <mergeCell ref="AF173:AF180"/>
    <mergeCell ref="AG173:AG180"/>
    <mergeCell ref="AH173:AH180"/>
    <mergeCell ref="AI173:AI180"/>
    <mergeCell ref="AJ173:AJ180"/>
    <mergeCell ref="AK173:AK180"/>
    <mergeCell ref="AL173:AL180"/>
    <mergeCell ref="AM173:AM180"/>
    <mergeCell ref="AN173:AN180"/>
    <mergeCell ref="AO173:AO180"/>
    <mergeCell ref="AP173:AP180"/>
    <mergeCell ref="AQ173:AQ180"/>
    <mergeCell ref="AR173:AR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E181:AE188"/>
    <mergeCell ref="AF181:AF188"/>
    <mergeCell ref="AG181:AG188"/>
    <mergeCell ref="AH181:AH188"/>
    <mergeCell ref="AI181:AI188"/>
    <mergeCell ref="AJ181:AJ188"/>
    <mergeCell ref="AK181:AK188"/>
    <mergeCell ref="AL181:AL188"/>
    <mergeCell ref="AM181:AM188"/>
    <mergeCell ref="AN181:AN188"/>
    <mergeCell ref="AO181:AO188"/>
    <mergeCell ref="AP181:AP188"/>
    <mergeCell ref="AQ181:AQ188"/>
    <mergeCell ref="AR181:AR18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E189:AE196"/>
    <mergeCell ref="AF189:AF196"/>
    <mergeCell ref="AG189:AG196"/>
    <mergeCell ref="AH189:AH196"/>
    <mergeCell ref="AI189:AI196"/>
    <mergeCell ref="AJ189:AJ196"/>
    <mergeCell ref="AK189:AK196"/>
    <mergeCell ref="AL189:AL196"/>
    <mergeCell ref="AM189:AM196"/>
    <mergeCell ref="AN189:AN196"/>
    <mergeCell ref="AO189:AO196"/>
    <mergeCell ref="AP189:AP196"/>
    <mergeCell ref="AQ189:AQ196"/>
    <mergeCell ref="AR189:AR19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E197:AE204"/>
    <mergeCell ref="AF197:AF204"/>
    <mergeCell ref="AG197:AG204"/>
    <mergeCell ref="AH197:AH204"/>
    <mergeCell ref="AI197:AI204"/>
    <mergeCell ref="AJ197:AJ204"/>
    <mergeCell ref="AK197:AK204"/>
    <mergeCell ref="AL197:AL204"/>
    <mergeCell ref="AM197:AM204"/>
    <mergeCell ref="AN197:AN204"/>
    <mergeCell ref="AO197:AO204"/>
    <mergeCell ref="AP197:AP204"/>
    <mergeCell ref="AQ197:AQ204"/>
    <mergeCell ref="AR197:AR204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E205:AE212"/>
    <mergeCell ref="AF205:AF212"/>
    <mergeCell ref="AG205:AG212"/>
    <mergeCell ref="AH205:AH212"/>
    <mergeCell ref="AI205:AI212"/>
    <mergeCell ref="AJ205:AJ212"/>
    <mergeCell ref="AK205:AK212"/>
    <mergeCell ref="AL205:AL212"/>
    <mergeCell ref="AM205:AM212"/>
    <mergeCell ref="AN205:AN212"/>
    <mergeCell ref="AO205:AO212"/>
    <mergeCell ref="AP205:AP212"/>
    <mergeCell ref="AQ205:AQ212"/>
    <mergeCell ref="AR205:AR21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E213:AE220"/>
    <mergeCell ref="AF213:AF220"/>
    <mergeCell ref="AG213:AG220"/>
    <mergeCell ref="AH213:AH220"/>
    <mergeCell ref="AI213:AI220"/>
    <mergeCell ref="AJ213:AJ220"/>
    <mergeCell ref="AK213:AK220"/>
    <mergeCell ref="AL213:AL220"/>
    <mergeCell ref="AM213:AM220"/>
    <mergeCell ref="AN213:AN220"/>
    <mergeCell ref="AO213:AO220"/>
    <mergeCell ref="AP213:AP220"/>
    <mergeCell ref="AQ213:AQ220"/>
    <mergeCell ref="AR213:AR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  <mergeCell ref="AE221:AE228"/>
    <mergeCell ref="AF221:AF228"/>
    <mergeCell ref="AG221:AG228"/>
    <mergeCell ref="AH221:AH228"/>
    <mergeCell ref="AI221:AI228"/>
    <mergeCell ref="AJ221:AJ228"/>
    <mergeCell ref="AK221:AK228"/>
    <mergeCell ref="AL221:AL228"/>
    <mergeCell ref="AM221:AM228"/>
    <mergeCell ref="AN221:AN228"/>
    <mergeCell ref="AO221:AO228"/>
    <mergeCell ref="AP221:AP228"/>
    <mergeCell ref="AQ221:AQ228"/>
    <mergeCell ref="AR221:AR228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  <mergeCell ref="AE229:AE236"/>
    <mergeCell ref="AF229:AF236"/>
    <mergeCell ref="AG229:AG236"/>
    <mergeCell ref="AH229:AH236"/>
    <mergeCell ref="AI229:AI236"/>
    <mergeCell ref="AJ229:AJ236"/>
    <mergeCell ref="AK229:AK236"/>
    <mergeCell ref="AL229:AL236"/>
    <mergeCell ref="AM229:AM236"/>
    <mergeCell ref="AN229:AN236"/>
    <mergeCell ref="AO229:AO236"/>
    <mergeCell ref="AP229:AP236"/>
    <mergeCell ref="AQ229:AQ236"/>
    <mergeCell ref="AR229:AR236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Y237:Y244"/>
    <mergeCell ref="Z237:Z244"/>
    <mergeCell ref="AA237:AA244"/>
    <mergeCell ref="AB237:AB244"/>
    <mergeCell ref="AC237:AC244"/>
    <mergeCell ref="AD237:AD244"/>
    <mergeCell ref="AE237:AE244"/>
    <mergeCell ref="AF237:AF244"/>
    <mergeCell ref="AG237:AG244"/>
    <mergeCell ref="AH237:AH244"/>
    <mergeCell ref="AI237:AI244"/>
    <mergeCell ref="AJ237:AJ244"/>
    <mergeCell ref="AK237:AK244"/>
    <mergeCell ref="AL237:AL244"/>
    <mergeCell ref="AM237:AM244"/>
    <mergeCell ref="AN237:AN244"/>
    <mergeCell ref="AO237:AO244"/>
    <mergeCell ref="AP237:AP244"/>
    <mergeCell ref="AQ237:AQ244"/>
    <mergeCell ref="AR237:AR244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L245:L252"/>
    <mergeCell ref="M245:M252"/>
    <mergeCell ref="N245:N252"/>
    <mergeCell ref="O245:O252"/>
    <mergeCell ref="P245:P252"/>
    <mergeCell ref="Q245:Q252"/>
    <mergeCell ref="R245:R252"/>
    <mergeCell ref="S245:S252"/>
    <mergeCell ref="T245:T252"/>
    <mergeCell ref="U245:U252"/>
    <mergeCell ref="V245:V252"/>
    <mergeCell ref="W245:W252"/>
    <mergeCell ref="X245:X252"/>
    <mergeCell ref="Y245:Y252"/>
    <mergeCell ref="Z245:Z252"/>
    <mergeCell ref="AA245:AA252"/>
    <mergeCell ref="AB245:AB252"/>
    <mergeCell ref="AC245:AC252"/>
    <mergeCell ref="AD245:AD252"/>
    <mergeCell ref="AE245:AE252"/>
    <mergeCell ref="AF245:AF252"/>
    <mergeCell ref="AG245:AG252"/>
    <mergeCell ref="AH245:AH252"/>
    <mergeCell ref="AI245:AI252"/>
    <mergeCell ref="AJ245:AJ252"/>
    <mergeCell ref="AK245:AK252"/>
    <mergeCell ref="AL245:AL252"/>
    <mergeCell ref="AM245:AM252"/>
    <mergeCell ref="AN245:AN252"/>
    <mergeCell ref="AO245:AO252"/>
    <mergeCell ref="AP245:AP252"/>
    <mergeCell ref="AQ245:AQ252"/>
    <mergeCell ref="AR245:AR252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K253:K260"/>
    <mergeCell ref="L253:L260"/>
    <mergeCell ref="M253:M260"/>
    <mergeCell ref="N253:N260"/>
    <mergeCell ref="O253:O260"/>
    <mergeCell ref="P253:P260"/>
    <mergeCell ref="Q253:Q260"/>
    <mergeCell ref="R253:R260"/>
    <mergeCell ref="S253:S260"/>
    <mergeCell ref="T253:T260"/>
    <mergeCell ref="U253:U260"/>
    <mergeCell ref="V253:V260"/>
    <mergeCell ref="W253:W260"/>
    <mergeCell ref="X253:X260"/>
    <mergeCell ref="Y253:Y260"/>
    <mergeCell ref="Z253:Z260"/>
    <mergeCell ref="AA253:AA260"/>
    <mergeCell ref="AB253:AB260"/>
    <mergeCell ref="AC253:AC260"/>
    <mergeCell ref="AD253:AD260"/>
    <mergeCell ref="AE253:AE260"/>
    <mergeCell ref="AF253:AF260"/>
    <mergeCell ref="AG253:AG260"/>
    <mergeCell ref="AH253:AH260"/>
    <mergeCell ref="AI253:AI260"/>
    <mergeCell ref="AJ253:AJ260"/>
    <mergeCell ref="AK253:AK260"/>
    <mergeCell ref="AL253:AL260"/>
    <mergeCell ref="AM253:AM260"/>
    <mergeCell ref="AN253:AN260"/>
    <mergeCell ref="AO253:AO260"/>
    <mergeCell ref="AP253:AP260"/>
    <mergeCell ref="AQ253:AQ260"/>
    <mergeCell ref="AR253:AR260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L261:L268"/>
    <mergeCell ref="M261:M268"/>
    <mergeCell ref="N261:N268"/>
    <mergeCell ref="O261:O268"/>
    <mergeCell ref="P261:P268"/>
    <mergeCell ref="Q261:Q268"/>
    <mergeCell ref="R261:R268"/>
    <mergeCell ref="S261:S268"/>
    <mergeCell ref="T261:T268"/>
    <mergeCell ref="U261:U268"/>
    <mergeCell ref="V261:V268"/>
    <mergeCell ref="W261:W268"/>
    <mergeCell ref="X261:X268"/>
    <mergeCell ref="Y261:Y268"/>
    <mergeCell ref="Z261:Z268"/>
    <mergeCell ref="AA261:AA268"/>
    <mergeCell ref="AB261:AB268"/>
    <mergeCell ref="AC261:AC268"/>
    <mergeCell ref="AD261:AD268"/>
    <mergeCell ref="AE261:AE268"/>
    <mergeCell ref="AF261:AF268"/>
    <mergeCell ref="AG261:AG268"/>
    <mergeCell ref="AH261:AH268"/>
    <mergeCell ref="AI261:AI268"/>
    <mergeCell ref="AJ261:AJ268"/>
    <mergeCell ref="AK261:AK268"/>
    <mergeCell ref="AL261:AL268"/>
    <mergeCell ref="AM261:AM268"/>
    <mergeCell ref="AN261:AN268"/>
    <mergeCell ref="AO261:AO268"/>
    <mergeCell ref="AP261:AP268"/>
    <mergeCell ref="AQ261:AQ268"/>
    <mergeCell ref="AR261:AR268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K269:K276"/>
    <mergeCell ref="L269:L276"/>
    <mergeCell ref="M269:M276"/>
    <mergeCell ref="N269:N276"/>
    <mergeCell ref="O269:O276"/>
    <mergeCell ref="P269:P276"/>
    <mergeCell ref="Q269:Q276"/>
    <mergeCell ref="R269:R276"/>
    <mergeCell ref="S269:S276"/>
    <mergeCell ref="T269:T276"/>
    <mergeCell ref="U269:U276"/>
    <mergeCell ref="V269:V276"/>
    <mergeCell ref="W269:W276"/>
    <mergeCell ref="X269:X276"/>
    <mergeCell ref="Y269:Y276"/>
    <mergeCell ref="Z269:Z276"/>
    <mergeCell ref="AA269:AA276"/>
    <mergeCell ref="AB269:AB276"/>
    <mergeCell ref="AC269:AC276"/>
    <mergeCell ref="AD269:AD276"/>
    <mergeCell ref="AE269:AE276"/>
    <mergeCell ref="AF269:AF276"/>
    <mergeCell ref="AG269:AG276"/>
    <mergeCell ref="AH269:AH276"/>
    <mergeCell ref="AI269:AI276"/>
    <mergeCell ref="AJ269:AJ276"/>
    <mergeCell ref="AK269:AK276"/>
    <mergeCell ref="AL269:AL276"/>
    <mergeCell ref="AM269:AM276"/>
    <mergeCell ref="AN269:AN276"/>
    <mergeCell ref="AO269:AO276"/>
    <mergeCell ref="AP269:AP276"/>
    <mergeCell ref="AQ269:AQ276"/>
    <mergeCell ref="AR269:AR276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L277:L284"/>
    <mergeCell ref="M277:M284"/>
    <mergeCell ref="N277:N284"/>
    <mergeCell ref="O277:O284"/>
    <mergeCell ref="P277:P284"/>
    <mergeCell ref="Q277:Q284"/>
    <mergeCell ref="R277:R284"/>
    <mergeCell ref="S277:S284"/>
    <mergeCell ref="T277:T284"/>
    <mergeCell ref="U277:U284"/>
    <mergeCell ref="V277:V284"/>
    <mergeCell ref="W277:W284"/>
    <mergeCell ref="X277:X284"/>
    <mergeCell ref="Y277:Y284"/>
    <mergeCell ref="Z277:Z284"/>
    <mergeCell ref="AA277:AA284"/>
    <mergeCell ref="AB277:AB284"/>
    <mergeCell ref="AC277:AC284"/>
    <mergeCell ref="AD277:AD284"/>
    <mergeCell ref="AE277:AE284"/>
    <mergeCell ref="AF277:AF284"/>
    <mergeCell ref="AG277:AG284"/>
    <mergeCell ref="AH277:AH284"/>
    <mergeCell ref="AI277:AI284"/>
    <mergeCell ref="AJ277:AJ284"/>
    <mergeCell ref="AK277:AK284"/>
    <mergeCell ref="AL277:AL284"/>
    <mergeCell ref="AM277:AM284"/>
    <mergeCell ref="AN277:AN284"/>
    <mergeCell ref="AO277:AO284"/>
    <mergeCell ref="AP277:AP284"/>
    <mergeCell ref="AQ277:AQ284"/>
    <mergeCell ref="AR277:AR284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K285:K292"/>
    <mergeCell ref="L285:L292"/>
    <mergeCell ref="M285:M292"/>
    <mergeCell ref="N285:N292"/>
    <mergeCell ref="O285:O292"/>
    <mergeCell ref="P285:P292"/>
    <mergeCell ref="Q285:Q292"/>
    <mergeCell ref="R285:R292"/>
    <mergeCell ref="S285:S292"/>
    <mergeCell ref="T285:T292"/>
    <mergeCell ref="U285:U292"/>
    <mergeCell ref="V285:V292"/>
    <mergeCell ref="W285:W292"/>
    <mergeCell ref="X285:X292"/>
    <mergeCell ref="Y285:Y292"/>
    <mergeCell ref="Z285:Z292"/>
    <mergeCell ref="AA285:AA292"/>
    <mergeCell ref="AB285:AB292"/>
    <mergeCell ref="AC285:AC292"/>
    <mergeCell ref="AD285:AD292"/>
    <mergeCell ref="AE285:AE292"/>
    <mergeCell ref="AF285:AF292"/>
    <mergeCell ref="AG285:AG292"/>
    <mergeCell ref="AH285:AH292"/>
    <mergeCell ref="AI285:AI292"/>
    <mergeCell ref="AJ285:AJ292"/>
    <mergeCell ref="AK285:AK292"/>
    <mergeCell ref="AL285:AL292"/>
    <mergeCell ref="AM285:AM292"/>
    <mergeCell ref="AN285:AN292"/>
    <mergeCell ref="AO285:AO292"/>
    <mergeCell ref="AP285:AP292"/>
    <mergeCell ref="AQ285:AQ292"/>
    <mergeCell ref="AR285:AR292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L293:L300"/>
    <mergeCell ref="M293:M300"/>
    <mergeCell ref="N293:N300"/>
    <mergeCell ref="O293:O300"/>
    <mergeCell ref="P293:P300"/>
    <mergeCell ref="Q293:Q300"/>
    <mergeCell ref="R293:R300"/>
    <mergeCell ref="S293:S300"/>
    <mergeCell ref="T293:T300"/>
    <mergeCell ref="U293:U300"/>
    <mergeCell ref="V293:V300"/>
    <mergeCell ref="W293:W300"/>
    <mergeCell ref="X293:X300"/>
    <mergeCell ref="Y293:Y300"/>
    <mergeCell ref="Z293:Z300"/>
    <mergeCell ref="AA293:AA300"/>
    <mergeCell ref="AB293:AB300"/>
    <mergeCell ref="AC293:AC300"/>
    <mergeCell ref="AD293:AD300"/>
    <mergeCell ref="AE293:AE300"/>
    <mergeCell ref="AF293:AF300"/>
    <mergeCell ref="AG293:AG300"/>
    <mergeCell ref="AH293:AH300"/>
    <mergeCell ref="AI293:AI300"/>
    <mergeCell ref="AJ293:AJ300"/>
    <mergeCell ref="AK293:AK300"/>
    <mergeCell ref="AL293:AL300"/>
    <mergeCell ref="AM293:AM300"/>
    <mergeCell ref="AN293:AN300"/>
    <mergeCell ref="AO293:AO300"/>
    <mergeCell ref="AP293:AP300"/>
    <mergeCell ref="AQ293:AQ300"/>
    <mergeCell ref="AR293:AR300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K301:K308"/>
    <mergeCell ref="L301:L308"/>
    <mergeCell ref="M301:M308"/>
    <mergeCell ref="N301:N308"/>
    <mergeCell ref="O301:O308"/>
    <mergeCell ref="P301:P308"/>
    <mergeCell ref="Q301:Q308"/>
    <mergeCell ref="R301:R308"/>
    <mergeCell ref="S301:S308"/>
    <mergeCell ref="T301:T308"/>
    <mergeCell ref="U301:U308"/>
    <mergeCell ref="V301:V308"/>
    <mergeCell ref="W301:W308"/>
    <mergeCell ref="X301:X308"/>
    <mergeCell ref="Y301:Y308"/>
    <mergeCell ref="Z301:Z308"/>
    <mergeCell ref="AA301:AA308"/>
    <mergeCell ref="AB301:AB308"/>
    <mergeCell ref="AC301:AC308"/>
    <mergeCell ref="AD301:AD308"/>
    <mergeCell ref="AE301:AE308"/>
    <mergeCell ref="AF301:AF308"/>
    <mergeCell ref="AG301:AG308"/>
    <mergeCell ref="AH301:AH308"/>
    <mergeCell ref="AI301:AI308"/>
    <mergeCell ref="AJ301:AJ308"/>
    <mergeCell ref="AK301:AK308"/>
    <mergeCell ref="AL301:AL308"/>
    <mergeCell ref="AM301:AM308"/>
    <mergeCell ref="AN301:AN308"/>
    <mergeCell ref="AO301:AO308"/>
    <mergeCell ref="AP301:AP308"/>
    <mergeCell ref="AQ301:AQ308"/>
    <mergeCell ref="AR301:AR308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L325:L332"/>
    <mergeCell ref="M325:M332"/>
    <mergeCell ref="N325:N332"/>
    <mergeCell ref="O325:O332"/>
    <mergeCell ref="P325:P332"/>
    <mergeCell ref="Q325:Q332"/>
    <mergeCell ref="R325:R332"/>
    <mergeCell ref="S325:S332"/>
    <mergeCell ref="T325:T332"/>
    <mergeCell ref="U325:U332"/>
    <mergeCell ref="V325:V332"/>
    <mergeCell ref="W325:W332"/>
    <mergeCell ref="X325:X332"/>
    <mergeCell ref="Y325:Y332"/>
    <mergeCell ref="Z325:Z332"/>
    <mergeCell ref="AA325:AA332"/>
    <mergeCell ref="AB325:AB332"/>
    <mergeCell ref="AC325:AC332"/>
    <mergeCell ref="AD325:AD332"/>
    <mergeCell ref="AE325:AE332"/>
    <mergeCell ref="AF325:AF332"/>
    <mergeCell ref="AG325:AG332"/>
    <mergeCell ref="AH325:AH332"/>
    <mergeCell ref="AI325:AI332"/>
    <mergeCell ref="AJ325:AJ332"/>
    <mergeCell ref="AK325:AK332"/>
    <mergeCell ref="AL325:AL332"/>
    <mergeCell ref="AM325:AM332"/>
    <mergeCell ref="AN325:AN332"/>
    <mergeCell ref="AO325:AO332"/>
    <mergeCell ref="AP325:AP332"/>
    <mergeCell ref="AQ325:AQ332"/>
    <mergeCell ref="AR325:AR332"/>
    <mergeCell ref="C521:D52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K524:K531"/>
    <mergeCell ref="L524:L531"/>
    <mergeCell ref="M524:M531"/>
    <mergeCell ref="N524:N531"/>
    <mergeCell ref="O524:O531"/>
    <mergeCell ref="P524:P531"/>
    <mergeCell ref="Q524:Q531"/>
    <mergeCell ref="R524:R531"/>
    <mergeCell ref="S524:S531"/>
    <mergeCell ref="T524:T531"/>
    <mergeCell ref="U524:U531"/>
    <mergeCell ref="V524:V531"/>
    <mergeCell ref="W524:W531"/>
    <mergeCell ref="X524:X531"/>
    <mergeCell ref="Y524:Y531"/>
    <mergeCell ref="Z524:Z531"/>
    <mergeCell ref="AA524:AA531"/>
    <mergeCell ref="AB524:AB531"/>
    <mergeCell ref="AC524:AC531"/>
    <mergeCell ref="AD524:AD531"/>
    <mergeCell ref="AE524:AE531"/>
    <mergeCell ref="AF524:AF531"/>
    <mergeCell ref="AG524:AG531"/>
    <mergeCell ref="AH524:AH531"/>
    <mergeCell ref="AI524:AI531"/>
    <mergeCell ref="AJ524:AJ531"/>
    <mergeCell ref="AK524:AK531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L532:L539"/>
    <mergeCell ref="M532:M539"/>
    <mergeCell ref="N532:N539"/>
    <mergeCell ref="O532:O539"/>
    <mergeCell ref="P532:P539"/>
    <mergeCell ref="Q532:Q539"/>
    <mergeCell ref="R532:R539"/>
    <mergeCell ref="S532:S539"/>
    <mergeCell ref="T532:T539"/>
    <mergeCell ref="U532:U539"/>
    <mergeCell ref="V532:V539"/>
    <mergeCell ref="W532:W539"/>
    <mergeCell ref="X532:X539"/>
    <mergeCell ref="Y532:Y539"/>
    <mergeCell ref="Z532:Z539"/>
    <mergeCell ref="AA532:AA539"/>
    <mergeCell ref="AB532:AB539"/>
    <mergeCell ref="AC532:AC539"/>
    <mergeCell ref="AD532:AD539"/>
    <mergeCell ref="AE532:AE539"/>
    <mergeCell ref="AF532:AF539"/>
    <mergeCell ref="AG532:AG539"/>
    <mergeCell ref="AH532:AH539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K540:K547"/>
    <mergeCell ref="L540:L547"/>
    <mergeCell ref="M540:M547"/>
    <mergeCell ref="N540:N547"/>
    <mergeCell ref="O540:O547"/>
    <mergeCell ref="P540:P547"/>
    <mergeCell ref="Q540:Q547"/>
    <mergeCell ref="R540:R547"/>
    <mergeCell ref="S540:S547"/>
    <mergeCell ref="T540:T547"/>
    <mergeCell ref="U540:U547"/>
    <mergeCell ref="V540:V547"/>
    <mergeCell ref="W540:W547"/>
    <mergeCell ref="X540:X547"/>
    <mergeCell ref="Y540:Y547"/>
    <mergeCell ref="Z540:Z547"/>
    <mergeCell ref="AA540:AA547"/>
    <mergeCell ref="AB540:AB547"/>
    <mergeCell ref="AC540:AC547"/>
    <mergeCell ref="AD540:AD547"/>
    <mergeCell ref="AE540:AE547"/>
    <mergeCell ref="AF540:AF547"/>
    <mergeCell ref="AG540:AG547"/>
    <mergeCell ref="AH540:AH547"/>
    <mergeCell ref="AI540:AI547"/>
    <mergeCell ref="AJ540:AJ547"/>
    <mergeCell ref="AK540:AK547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L548:L555"/>
    <mergeCell ref="M548:M555"/>
    <mergeCell ref="N548:N555"/>
    <mergeCell ref="O548:O555"/>
    <mergeCell ref="P548:P555"/>
    <mergeCell ref="Q548:Q555"/>
    <mergeCell ref="R548:R555"/>
    <mergeCell ref="S548:S555"/>
    <mergeCell ref="T548:T555"/>
    <mergeCell ref="U548:U555"/>
    <mergeCell ref="V548:V555"/>
    <mergeCell ref="W548:W555"/>
    <mergeCell ref="X548:X555"/>
    <mergeCell ref="Y548:Y555"/>
    <mergeCell ref="Z548:Z555"/>
    <mergeCell ref="AA548:AA555"/>
    <mergeCell ref="AB548:AB555"/>
    <mergeCell ref="AC548:AC555"/>
    <mergeCell ref="AD548:AD555"/>
    <mergeCell ref="AE548:AE555"/>
    <mergeCell ref="AF548:AF555"/>
    <mergeCell ref="AG548:AG555"/>
    <mergeCell ref="AH548:AH555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K556:K563"/>
    <mergeCell ref="L556:L563"/>
    <mergeCell ref="M556:M563"/>
    <mergeCell ref="N556:N563"/>
    <mergeCell ref="O556:O563"/>
    <mergeCell ref="P556:P563"/>
    <mergeCell ref="Q556:Q563"/>
    <mergeCell ref="R556:R563"/>
    <mergeCell ref="S556:S563"/>
    <mergeCell ref="T556:T563"/>
    <mergeCell ref="U556:U563"/>
    <mergeCell ref="V556:V563"/>
    <mergeCell ref="W556:W563"/>
    <mergeCell ref="X556:X563"/>
    <mergeCell ref="Y556:Y563"/>
    <mergeCell ref="Z556:Z563"/>
    <mergeCell ref="AA556:AA563"/>
    <mergeCell ref="AB556:AB563"/>
    <mergeCell ref="AC556:AC563"/>
    <mergeCell ref="AD556:AD563"/>
    <mergeCell ref="AE556:AE563"/>
    <mergeCell ref="AF556:AF563"/>
    <mergeCell ref="AG556:AG563"/>
    <mergeCell ref="AH556:AH563"/>
    <mergeCell ref="AI556:AI563"/>
    <mergeCell ref="AJ556:AJ563"/>
    <mergeCell ref="AK556:AK563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L564:L571"/>
    <mergeCell ref="M564:M571"/>
    <mergeCell ref="N564:N571"/>
    <mergeCell ref="O564:O571"/>
    <mergeCell ref="P564:P571"/>
    <mergeCell ref="Q564:Q571"/>
    <mergeCell ref="R564:R571"/>
    <mergeCell ref="S564:S571"/>
    <mergeCell ref="T564:T571"/>
    <mergeCell ref="U564:U571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AD564:AD571"/>
    <mergeCell ref="AE564:AE571"/>
    <mergeCell ref="AF564:AF571"/>
    <mergeCell ref="AG564:AG571"/>
    <mergeCell ref="AH564:AH571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L572:L579"/>
    <mergeCell ref="M572:M579"/>
    <mergeCell ref="N572:N579"/>
    <mergeCell ref="O572:O579"/>
    <mergeCell ref="P572:P579"/>
    <mergeCell ref="Q572:Q579"/>
    <mergeCell ref="R572:R579"/>
    <mergeCell ref="S572:S579"/>
    <mergeCell ref="T572:T579"/>
    <mergeCell ref="U572:U579"/>
    <mergeCell ref="V572:V579"/>
    <mergeCell ref="W572:W579"/>
    <mergeCell ref="X572:X579"/>
    <mergeCell ref="Y572:Y579"/>
    <mergeCell ref="Z572:Z579"/>
    <mergeCell ref="AA572:AA579"/>
    <mergeCell ref="AB572:AB579"/>
    <mergeCell ref="AC572:AC579"/>
    <mergeCell ref="AD572:AD579"/>
    <mergeCell ref="AE572:AE579"/>
    <mergeCell ref="AF572:AF579"/>
    <mergeCell ref="AG572:AG579"/>
    <mergeCell ref="AH572:AH579"/>
    <mergeCell ref="AI572:AI579"/>
    <mergeCell ref="AJ572:AJ579"/>
    <mergeCell ref="AK572:AK579"/>
    <mergeCell ref="AL572:AL579"/>
    <mergeCell ref="AM572:AM579"/>
    <mergeCell ref="AS572:AS579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L580:L587"/>
    <mergeCell ref="M580:M587"/>
    <mergeCell ref="N580:N587"/>
    <mergeCell ref="O580:O587"/>
    <mergeCell ref="P580:P587"/>
    <mergeCell ref="Q580:Q587"/>
    <mergeCell ref="R580:R587"/>
    <mergeCell ref="S580:S587"/>
    <mergeCell ref="T580:T587"/>
    <mergeCell ref="U580:U587"/>
    <mergeCell ref="V580:V587"/>
    <mergeCell ref="W580:W587"/>
    <mergeCell ref="X580:X587"/>
    <mergeCell ref="Y580:Y587"/>
    <mergeCell ref="Z580:Z587"/>
    <mergeCell ref="AA580:AA587"/>
    <mergeCell ref="AB580:AB587"/>
    <mergeCell ref="AC580:AC587"/>
    <mergeCell ref="AD580:AD587"/>
    <mergeCell ref="AE580:AE587"/>
    <mergeCell ref="AF580:AF587"/>
    <mergeCell ref="AG580:AG587"/>
    <mergeCell ref="AH580:AH587"/>
    <mergeCell ref="AI580:AI587"/>
    <mergeCell ref="AJ580:AJ587"/>
    <mergeCell ref="AK580:AK587"/>
    <mergeCell ref="AL580:AL587"/>
    <mergeCell ref="AM580:AM587"/>
    <mergeCell ref="AS580:AS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L588:L595"/>
    <mergeCell ref="M588:M595"/>
    <mergeCell ref="N588:N595"/>
    <mergeCell ref="O588:O595"/>
    <mergeCell ref="P588:P595"/>
    <mergeCell ref="Q588:Q595"/>
    <mergeCell ref="R588:R595"/>
    <mergeCell ref="S588:S595"/>
    <mergeCell ref="T588:T595"/>
    <mergeCell ref="U588:U595"/>
    <mergeCell ref="V588:V595"/>
    <mergeCell ref="W588:W595"/>
    <mergeCell ref="X588:X595"/>
    <mergeCell ref="Y588:Y595"/>
    <mergeCell ref="Z588:Z595"/>
    <mergeCell ref="AA588:AA595"/>
    <mergeCell ref="AB588:AB595"/>
    <mergeCell ref="AC588:AC595"/>
    <mergeCell ref="AD588:AD595"/>
    <mergeCell ref="AE588:AE595"/>
    <mergeCell ref="AF588:AF595"/>
    <mergeCell ref="AG588:AG595"/>
    <mergeCell ref="AH588:AH595"/>
    <mergeCell ref="AI588:AI595"/>
    <mergeCell ref="AJ588:AJ595"/>
    <mergeCell ref="AK588:AK595"/>
    <mergeCell ref="AL588:AL595"/>
    <mergeCell ref="AM588:AM595"/>
    <mergeCell ref="AS588:AS595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L596:L603"/>
    <mergeCell ref="M596:M603"/>
    <mergeCell ref="N596:N603"/>
    <mergeCell ref="O596:O603"/>
    <mergeCell ref="P596:P603"/>
    <mergeCell ref="Q596:Q603"/>
    <mergeCell ref="R596:R603"/>
    <mergeCell ref="S596:S603"/>
    <mergeCell ref="T596:T603"/>
    <mergeCell ref="U596:U603"/>
    <mergeCell ref="V596:V603"/>
    <mergeCell ref="W596:W603"/>
    <mergeCell ref="X596:X603"/>
    <mergeCell ref="Y596:Y603"/>
    <mergeCell ref="Z596:Z603"/>
    <mergeCell ref="AA596:AA603"/>
    <mergeCell ref="AB596:AB603"/>
    <mergeCell ref="AC596:AC603"/>
    <mergeCell ref="AD596:AD603"/>
    <mergeCell ref="AE596:AE603"/>
    <mergeCell ref="AF596:AF603"/>
    <mergeCell ref="AG596:AG603"/>
    <mergeCell ref="AH596:AH603"/>
    <mergeCell ref="AI596:AI603"/>
    <mergeCell ref="AJ596:AJ603"/>
    <mergeCell ref="AK596:AK603"/>
    <mergeCell ref="AL596:AL603"/>
    <mergeCell ref="AM596:AM603"/>
    <mergeCell ref="AS596:AS603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L604:L611"/>
    <mergeCell ref="M604:M611"/>
    <mergeCell ref="N604:N611"/>
    <mergeCell ref="O604:O611"/>
    <mergeCell ref="P604:P611"/>
    <mergeCell ref="Q604:Q611"/>
    <mergeCell ref="R604:R611"/>
    <mergeCell ref="S604:S611"/>
    <mergeCell ref="T604:T611"/>
    <mergeCell ref="U604:U611"/>
    <mergeCell ref="V604:V611"/>
    <mergeCell ref="W604:W611"/>
    <mergeCell ref="X604:X611"/>
    <mergeCell ref="Y604:Y611"/>
    <mergeCell ref="Z604:Z611"/>
    <mergeCell ref="AA604:AA611"/>
    <mergeCell ref="AB604:AB611"/>
    <mergeCell ref="AC604:AC611"/>
    <mergeCell ref="AD604:AD611"/>
    <mergeCell ref="AE604:AE611"/>
    <mergeCell ref="AF604:AF611"/>
    <mergeCell ref="AG604:AG611"/>
    <mergeCell ref="AH604:AH611"/>
    <mergeCell ref="AI604:AI611"/>
    <mergeCell ref="AJ604:AJ611"/>
    <mergeCell ref="AK604:AK611"/>
    <mergeCell ref="AL604:AL611"/>
    <mergeCell ref="AM604:AM611"/>
    <mergeCell ref="AS604:AS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L612:L619"/>
    <mergeCell ref="M612:M619"/>
    <mergeCell ref="N612:N619"/>
    <mergeCell ref="O612:O619"/>
    <mergeCell ref="P612:P619"/>
    <mergeCell ref="Q612:Q619"/>
    <mergeCell ref="R612:R619"/>
    <mergeCell ref="S612:S619"/>
    <mergeCell ref="T612:T619"/>
    <mergeCell ref="U612:U619"/>
    <mergeCell ref="V612:V619"/>
    <mergeCell ref="W612:W619"/>
    <mergeCell ref="X612:X619"/>
    <mergeCell ref="Y612:Y619"/>
    <mergeCell ref="Z612:Z619"/>
    <mergeCell ref="AA612:AA619"/>
    <mergeCell ref="AB612:AB619"/>
    <mergeCell ref="AC612:AC619"/>
    <mergeCell ref="AD612:AD619"/>
    <mergeCell ref="AE612:AE619"/>
    <mergeCell ref="AF612:AF619"/>
    <mergeCell ref="AG612:AG619"/>
    <mergeCell ref="AH612:AH619"/>
    <mergeCell ref="AI612:AI619"/>
    <mergeCell ref="AJ612:AJ619"/>
    <mergeCell ref="AK612:AK619"/>
    <mergeCell ref="AL612:AL619"/>
    <mergeCell ref="AM612:AM619"/>
    <mergeCell ref="AS612:AS619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P620:P627"/>
    <mergeCell ref="Q620:Q627"/>
    <mergeCell ref="R620:R627"/>
    <mergeCell ref="S620:S627"/>
    <mergeCell ref="T620:T627"/>
    <mergeCell ref="U620:U627"/>
    <mergeCell ref="V620:V627"/>
    <mergeCell ref="W620:W627"/>
    <mergeCell ref="X620:X627"/>
    <mergeCell ref="Y620:Y627"/>
    <mergeCell ref="Z620:Z627"/>
    <mergeCell ref="AA620:AA627"/>
    <mergeCell ref="AB620:AB627"/>
    <mergeCell ref="AC620:AC627"/>
    <mergeCell ref="AD620:AD627"/>
    <mergeCell ref="AE620:AE627"/>
    <mergeCell ref="AF620:AF627"/>
    <mergeCell ref="AG620:AG627"/>
    <mergeCell ref="AH620:AH627"/>
    <mergeCell ref="AI620:AI627"/>
    <mergeCell ref="AJ620:AJ627"/>
    <mergeCell ref="AK620:AK627"/>
    <mergeCell ref="AL620:AL627"/>
    <mergeCell ref="AM620:AM627"/>
    <mergeCell ref="AS620:AS627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L628:L635"/>
    <mergeCell ref="M628:M635"/>
    <mergeCell ref="N628:N635"/>
    <mergeCell ref="O628:O635"/>
    <mergeCell ref="P628:P635"/>
    <mergeCell ref="Q628:Q635"/>
    <mergeCell ref="R628:R635"/>
    <mergeCell ref="S628:S635"/>
    <mergeCell ref="T628:T635"/>
    <mergeCell ref="U628:U635"/>
    <mergeCell ref="V628:V635"/>
    <mergeCell ref="W628:W635"/>
    <mergeCell ref="X628:X635"/>
    <mergeCell ref="Y628:Y635"/>
    <mergeCell ref="Z628:Z635"/>
    <mergeCell ref="AA628:AA635"/>
    <mergeCell ref="AB628:AB635"/>
    <mergeCell ref="AC628:AC635"/>
    <mergeCell ref="AD628:AD635"/>
    <mergeCell ref="AE628:AE635"/>
    <mergeCell ref="AF628:AF635"/>
    <mergeCell ref="AG628:AG635"/>
    <mergeCell ref="AH628:AH635"/>
    <mergeCell ref="AI628:AI635"/>
    <mergeCell ref="AJ628:AJ635"/>
    <mergeCell ref="AK628:AK635"/>
    <mergeCell ref="AL628:AL635"/>
    <mergeCell ref="AM628:AM635"/>
    <mergeCell ref="AS628:AS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L636:L643"/>
    <mergeCell ref="M636:M643"/>
    <mergeCell ref="N636:N643"/>
    <mergeCell ref="O636:O643"/>
    <mergeCell ref="P636:P643"/>
    <mergeCell ref="Q636:Q643"/>
    <mergeCell ref="R636:R643"/>
    <mergeCell ref="S636:S643"/>
    <mergeCell ref="T636:T643"/>
    <mergeCell ref="U636:U643"/>
    <mergeCell ref="V636:V643"/>
    <mergeCell ref="W636:W643"/>
    <mergeCell ref="X636:X643"/>
    <mergeCell ref="Y636:Y643"/>
    <mergeCell ref="Z636:Z643"/>
    <mergeCell ref="AA636:AA643"/>
    <mergeCell ref="AB636:AB643"/>
    <mergeCell ref="AC636:AC643"/>
    <mergeCell ref="AD636:AD643"/>
    <mergeCell ref="AE636:AE643"/>
    <mergeCell ref="AF636:AF643"/>
    <mergeCell ref="AG636:AG643"/>
    <mergeCell ref="AH636:AH643"/>
    <mergeCell ref="AI636:AI643"/>
    <mergeCell ref="AJ636:AJ643"/>
    <mergeCell ref="AK636:AK643"/>
    <mergeCell ref="AL636:AL643"/>
    <mergeCell ref="AM636:AM643"/>
    <mergeCell ref="AS636:AS643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L644:L651"/>
    <mergeCell ref="M644:M651"/>
    <mergeCell ref="N644:N651"/>
    <mergeCell ref="O644:O651"/>
    <mergeCell ref="P644:P651"/>
    <mergeCell ref="Q644:Q651"/>
    <mergeCell ref="R644:R651"/>
    <mergeCell ref="S644:S651"/>
    <mergeCell ref="T644:T651"/>
    <mergeCell ref="U644:U651"/>
    <mergeCell ref="V644:V651"/>
    <mergeCell ref="W644:W651"/>
    <mergeCell ref="X644:X651"/>
    <mergeCell ref="Y644:Y651"/>
    <mergeCell ref="Z644:Z651"/>
    <mergeCell ref="AA644:AA651"/>
    <mergeCell ref="AB644:AB651"/>
    <mergeCell ref="AC644:AC651"/>
    <mergeCell ref="AD644:AD651"/>
    <mergeCell ref="AE644:AE651"/>
    <mergeCell ref="AF644:AF651"/>
    <mergeCell ref="AG644:AG651"/>
    <mergeCell ref="AH644:AH651"/>
    <mergeCell ref="AI644:AI651"/>
    <mergeCell ref="AJ644:AJ651"/>
    <mergeCell ref="AK644:AK651"/>
    <mergeCell ref="AL644:AL651"/>
    <mergeCell ref="AM644:AM651"/>
    <mergeCell ref="AS644:AS651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L652:L659"/>
    <mergeCell ref="M652:M659"/>
    <mergeCell ref="N652:N659"/>
    <mergeCell ref="O652:O659"/>
    <mergeCell ref="P652:P659"/>
    <mergeCell ref="Q652:Q659"/>
    <mergeCell ref="R652:R659"/>
    <mergeCell ref="S652:S659"/>
    <mergeCell ref="T652:T659"/>
    <mergeCell ref="U652:U659"/>
    <mergeCell ref="V652:V659"/>
    <mergeCell ref="W652:W659"/>
    <mergeCell ref="X652:X659"/>
    <mergeCell ref="Y652:Y659"/>
    <mergeCell ref="Z652:Z659"/>
    <mergeCell ref="AA652:AA659"/>
    <mergeCell ref="AB652:AB659"/>
    <mergeCell ref="AC652:AC659"/>
    <mergeCell ref="AD652:AD659"/>
    <mergeCell ref="AE652:AE659"/>
    <mergeCell ref="AF652:AF659"/>
    <mergeCell ref="AG652:AG659"/>
    <mergeCell ref="AH652:AH659"/>
    <mergeCell ref="AI652:AI659"/>
    <mergeCell ref="AJ652:AJ659"/>
    <mergeCell ref="AK652:AK659"/>
    <mergeCell ref="AL652:AL659"/>
    <mergeCell ref="AM652:AM659"/>
    <mergeCell ref="AS652:AS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L660:L667"/>
    <mergeCell ref="M660:M667"/>
    <mergeCell ref="N660:N667"/>
    <mergeCell ref="O660:O667"/>
    <mergeCell ref="P660:P667"/>
    <mergeCell ref="Q660:Q667"/>
    <mergeCell ref="R660:R667"/>
    <mergeCell ref="S660:S667"/>
    <mergeCell ref="T660:T667"/>
    <mergeCell ref="U660:U667"/>
    <mergeCell ref="V660:V667"/>
    <mergeCell ref="W660:W667"/>
    <mergeCell ref="X660:X667"/>
    <mergeCell ref="Y660:Y667"/>
    <mergeCell ref="Z660:Z667"/>
    <mergeCell ref="AA660:AA667"/>
    <mergeCell ref="AB660:AB667"/>
    <mergeCell ref="AC660:AC667"/>
    <mergeCell ref="AD660:AD667"/>
    <mergeCell ref="AE660:AE667"/>
    <mergeCell ref="AF660:AF667"/>
    <mergeCell ref="AG660:AG667"/>
    <mergeCell ref="AH660:AH667"/>
    <mergeCell ref="AI660:AI667"/>
    <mergeCell ref="AJ660:AJ667"/>
    <mergeCell ref="AK660:AK667"/>
    <mergeCell ref="AL660:AL667"/>
    <mergeCell ref="AM660:AM667"/>
    <mergeCell ref="AS660:AS667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L668:L675"/>
    <mergeCell ref="M668:M675"/>
    <mergeCell ref="N668:N675"/>
    <mergeCell ref="O668:O675"/>
    <mergeCell ref="P668:P675"/>
    <mergeCell ref="Q668:Q675"/>
    <mergeCell ref="R668:R675"/>
    <mergeCell ref="S668:S675"/>
    <mergeCell ref="T668:T675"/>
    <mergeCell ref="U668:U675"/>
    <mergeCell ref="V668:V675"/>
    <mergeCell ref="W668:W675"/>
    <mergeCell ref="X668:X675"/>
    <mergeCell ref="Y668:Y675"/>
    <mergeCell ref="Z668:Z675"/>
    <mergeCell ref="AA668:AA675"/>
    <mergeCell ref="AB668:AB675"/>
    <mergeCell ref="AC668:AC675"/>
    <mergeCell ref="AD668:AD675"/>
    <mergeCell ref="AE668:AE675"/>
    <mergeCell ref="AF668:AF675"/>
    <mergeCell ref="AG668:AG675"/>
    <mergeCell ref="AH668:AH675"/>
    <mergeCell ref="AI668:AI675"/>
    <mergeCell ref="AJ668:AJ675"/>
    <mergeCell ref="AK668:AK675"/>
    <mergeCell ref="AL668:AL675"/>
    <mergeCell ref="AM668:AM675"/>
    <mergeCell ref="AS668:AS675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L676:L683"/>
    <mergeCell ref="M676:M683"/>
    <mergeCell ref="N676:N683"/>
    <mergeCell ref="O676:O683"/>
    <mergeCell ref="P676:P683"/>
    <mergeCell ref="Q676:Q683"/>
    <mergeCell ref="R676:R683"/>
    <mergeCell ref="S676:S683"/>
    <mergeCell ref="T676:T683"/>
    <mergeCell ref="U676:U683"/>
    <mergeCell ref="V676:V683"/>
    <mergeCell ref="W676:W683"/>
    <mergeCell ref="X676:X683"/>
    <mergeCell ref="Y676:Y683"/>
    <mergeCell ref="Z676:Z683"/>
    <mergeCell ref="AA676:AA683"/>
    <mergeCell ref="AB676:AB683"/>
    <mergeCell ref="AC676:AC683"/>
    <mergeCell ref="AD676:AD683"/>
    <mergeCell ref="AE676:AE683"/>
    <mergeCell ref="AF676:AF683"/>
    <mergeCell ref="AG676:AG683"/>
    <mergeCell ref="AH676:AH683"/>
    <mergeCell ref="AI676:AI683"/>
    <mergeCell ref="AJ676:AJ683"/>
    <mergeCell ref="AK676:AK683"/>
    <mergeCell ref="AL676:AL683"/>
    <mergeCell ref="AM676:AM683"/>
    <mergeCell ref="AS676:AS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L684:L691"/>
    <mergeCell ref="M684:M691"/>
    <mergeCell ref="N684:N691"/>
    <mergeCell ref="O684:O691"/>
    <mergeCell ref="P684:P691"/>
    <mergeCell ref="Q684:Q691"/>
    <mergeCell ref="R684:R691"/>
    <mergeCell ref="S684:S691"/>
    <mergeCell ref="T684:T691"/>
    <mergeCell ref="U684:U691"/>
    <mergeCell ref="V684:V691"/>
    <mergeCell ref="W684:W691"/>
    <mergeCell ref="X684:X691"/>
    <mergeCell ref="Y684:Y691"/>
    <mergeCell ref="Z684:Z691"/>
    <mergeCell ref="AA684:AA691"/>
    <mergeCell ref="AB684:AB691"/>
    <mergeCell ref="AC684:AC691"/>
    <mergeCell ref="AD684:AD691"/>
    <mergeCell ref="AE684:AE691"/>
    <mergeCell ref="AF684:AF691"/>
    <mergeCell ref="AG684:AG691"/>
    <mergeCell ref="AH684:AH691"/>
    <mergeCell ref="AI684:AI691"/>
    <mergeCell ref="AJ684:AJ691"/>
    <mergeCell ref="AK684:AK691"/>
    <mergeCell ref="AL684:AL691"/>
    <mergeCell ref="AM684:AM691"/>
    <mergeCell ref="AS684:AS691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K692:K699"/>
    <mergeCell ref="L692:L699"/>
    <mergeCell ref="M692:M699"/>
    <mergeCell ref="N692:N699"/>
    <mergeCell ref="O692:O699"/>
    <mergeCell ref="P692:P699"/>
    <mergeCell ref="Q692:Q699"/>
    <mergeCell ref="R692:R699"/>
    <mergeCell ref="S692:S699"/>
    <mergeCell ref="T692:T699"/>
    <mergeCell ref="U692:U699"/>
    <mergeCell ref="V692:V699"/>
    <mergeCell ref="W692:W699"/>
    <mergeCell ref="X692:X699"/>
    <mergeCell ref="Y692:Y699"/>
    <mergeCell ref="Z692:Z699"/>
    <mergeCell ref="AA692:AA699"/>
    <mergeCell ref="AB692:AB699"/>
    <mergeCell ref="AC692:AC699"/>
    <mergeCell ref="AD692:AD699"/>
    <mergeCell ref="AE692:AE699"/>
    <mergeCell ref="AF692:AF699"/>
    <mergeCell ref="AG692:AG699"/>
    <mergeCell ref="AH692:AH699"/>
    <mergeCell ref="AI692:AI699"/>
    <mergeCell ref="AJ692:AJ699"/>
    <mergeCell ref="AK692:AK699"/>
    <mergeCell ref="AL692:AL699"/>
    <mergeCell ref="AM692:AM699"/>
    <mergeCell ref="AS692:AS699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L700:L707"/>
    <mergeCell ref="M700:M707"/>
    <mergeCell ref="N700:N707"/>
    <mergeCell ref="O700:O707"/>
    <mergeCell ref="P700:P707"/>
    <mergeCell ref="Q700:Q707"/>
    <mergeCell ref="R700:R707"/>
    <mergeCell ref="S700:S707"/>
    <mergeCell ref="T700:T707"/>
    <mergeCell ref="U700:U707"/>
    <mergeCell ref="V700:V707"/>
    <mergeCell ref="W700:W707"/>
    <mergeCell ref="X700:X707"/>
    <mergeCell ref="Y700:Y707"/>
    <mergeCell ref="Z700:Z707"/>
    <mergeCell ref="AA700:AA707"/>
    <mergeCell ref="AB700:AB707"/>
    <mergeCell ref="AC700:AC707"/>
    <mergeCell ref="AD700:AD707"/>
    <mergeCell ref="AE700:AE707"/>
    <mergeCell ref="AF700:AF707"/>
    <mergeCell ref="AG700:AG707"/>
    <mergeCell ref="AH700:AH707"/>
    <mergeCell ref="AI700:AI707"/>
    <mergeCell ref="AJ700:AJ707"/>
    <mergeCell ref="AK700:AK707"/>
    <mergeCell ref="AL700:AL707"/>
    <mergeCell ref="AM700:AM707"/>
    <mergeCell ref="AS700:AS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L708:L715"/>
    <mergeCell ref="M708:M715"/>
    <mergeCell ref="N708:N715"/>
    <mergeCell ref="O708:O715"/>
    <mergeCell ref="P708:P715"/>
    <mergeCell ref="Q708:Q715"/>
    <mergeCell ref="R708:R715"/>
    <mergeCell ref="S708:S715"/>
    <mergeCell ref="T708:T715"/>
    <mergeCell ref="U708:U715"/>
    <mergeCell ref="V708:V715"/>
    <mergeCell ref="W708:W715"/>
    <mergeCell ref="X708:X715"/>
    <mergeCell ref="Y708:Y715"/>
    <mergeCell ref="Z708:Z715"/>
    <mergeCell ref="AA708:AA715"/>
    <mergeCell ref="AB708:AB715"/>
    <mergeCell ref="AC708:AC715"/>
    <mergeCell ref="AD708:AD715"/>
    <mergeCell ref="AE708:AE715"/>
    <mergeCell ref="AF708:AF715"/>
    <mergeCell ref="AG708:AG715"/>
    <mergeCell ref="AH708:AH715"/>
    <mergeCell ref="AI708:AI715"/>
    <mergeCell ref="AJ708:AJ715"/>
    <mergeCell ref="AK708:AK715"/>
    <mergeCell ref="AL708:AL715"/>
    <mergeCell ref="AM708:AM715"/>
    <mergeCell ref="AN708:AN715"/>
    <mergeCell ref="AO708:AO715"/>
    <mergeCell ref="AP708:AP715"/>
    <mergeCell ref="AQ708:AQ715"/>
    <mergeCell ref="AR708:AR715"/>
    <mergeCell ref="AS708:AS715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L716:L723"/>
    <mergeCell ref="M716:M723"/>
    <mergeCell ref="N716:N723"/>
    <mergeCell ref="O716:O723"/>
    <mergeCell ref="P716:P723"/>
    <mergeCell ref="Q716:Q723"/>
    <mergeCell ref="R716:R723"/>
    <mergeCell ref="S716:S723"/>
    <mergeCell ref="T716:T723"/>
    <mergeCell ref="U716:U723"/>
    <mergeCell ref="V716:V723"/>
    <mergeCell ref="W716:W723"/>
    <mergeCell ref="X716:X723"/>
    <mergeCell ref="Y716:Y723"/>
    <mergeCell ref="Z716:Z723"/>
    <mergeCell ref="AA716:AA723"/>
    <mergeCell ref="AB716:AB723"/>
    <mergeCell ref="AC716:AC723"/>
    <mergeCell ref="AD716:AD723"/>
    <mergeCell ref="AE716:AE723"/>
    <mergeCell ref="AF716:AF723"/>
    <mergeCell ref="AG716:AG723"/>
    <mergeCell ref="AH716:AH723"/>
    <mergeCell ref="AI716:AI723"/>
    <mergeCell ref="AJ716:AJ723"/>
    <mergeCell ref="AK716:AK723"/>
    <mergeCell ref="AL716:AL723"/>
    <mergeCell ref="AM716:AM723"/>
    <mergeCell ref="AN716:AN723"/>
    <mergeCell ref="AO716:AO723"/>
    <mergeCell ref="AP716:AP723"/>
    <mergeCell ref="AQ716:AQ723"/>
    <mergeCell ref="AR716:AR723"/>
    <mergeCell ref="AS716:AS723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L724:L731"/>
    <mergeCell ref="M724:M731"/>
    <mergeCell ref="N724:N731"/>
    <mergeCell ref="O724:O731"/>
    <mergeCell ref="P724:P731"/>
    <mergeCell ref="Q724:Q731"/>
    <mergeCell ref="R724:R731"/>
    <mergeCell ref="S724:S731"/>
    <mergeCell ref="T724:T731"/>
    <mergeCell ref="U724:U731"/>
    <mergeCell ref="V724:V731"/>
    <mergeCell ref="W724:W731"/>
    <mergeCell ref="X724:X731"/>
    <mergeCell ref="Y724:Y731"/>
    <mergeCell ref="Z724:Z731"/>
    <mergeCell ref="AA724:AA731"/>
    <mergeCell ref="AB724:AB731"/>
    <mergeCell ref="AC724:AC731"/>
    <mergeCell ref="AD724:AD731"/>
    <mergeCell ref="AE724:AE731"/>
    <mergeCell ref="AF724:AF731"/>
    <mergeCell ref="AG724:AG731"/>
    <mergeCell ref="AH724:AH731"/>
    <mergeCell ref="AI724:AI731"/>
    <mergeCell ref="AJ724:AJ731"/>
    <mergeCell ref="AK724:AK731"/>
    <mergeCell ref="AL724:AL731"/>
    <mergeCell ref="AM724:AM731"/>
    <mergeCell ref="AN724:AN731"/>
    <mergeCell ref="AO724:AO731"/>
    <mergeCell ref="AP724:AP731"/>
    <mergeCell ref="AQ724:AQ731"/>
    <mergeCell ref="AR724:AR731"/>
    <mergeCell ref="AS724:AS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L732:L739"/>
    <mergeCell ref="M732:M739"/>
    <mergeCell ref="N732:N739"/>
    <mergeCell ref="O732:O739"/>
    <mergeCell ref="P732:P739"/>
    <mergeCell ref="Q732:Q739"/>
    <mergeCell ref="R732:R739"/>
    <mergeCell ref="S732:S739"/>
    <mergeCell ref="T732:T739"/>
    <mergeCell ref="U732:U739"/>
    <mergeCell ref="V732:V739"/>
    <mergeCell ref="W732:W739"/>
    <mergeCell ref="X732:X739"/>
    <mergeCell ref="Y732:Y739"/>
    <mergeCell ref="Z732:Z739"/>
    <mergeCell ref="AA732:AA739"/>
    <mergeCell ref="AB732:AB739"/>
    <mergeCell ref="AC732:AC739"/>
    <mergeCell ref="AD732:AD739"/>
    <mergeCell ref="AE732:AE739"/>
    <mergeCell ref="AF732:AF739"/>
    <mergeCell ref="AG732:AG739"/>
    <mergeCell ref="AH732:AH739"/>
    <mergeCell ref="AI732:AI739"/>
    <mergeCell ref="AJ732:AJ739"/>
    <mergeCell ref="AK732:AK739"/>
    <mergeCell ref="AL732:AL739"/>
    <mergeCell ref="AM732:AM739"/>
    <mergeCell ref="AN732:AN739"/>
    <mergeCell ref="AO732:AO739"/>
    <mergeCell ref="AP732:AP739"/>
    <mergeCell ref="AQ732:AQ739"/>
    <mergeCell ref="AR732:AR739"/>
    <mergeCell ref="AS732:AS739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L740:L747"/>
    <mergeCell ref="M740:M747"/>
    <mergeCell ref="N740:N747"/>
    <mergeCell ref="O740:O747"/>
    <mergeCell ref="P740:P747"/>
    <mergeCell ref="Q740:Q747"/>
    <mergeCell ref="R740:R747"/>
    <mergeCell ref="S740:S747"/>
    <mergeCell ref="T740:T747"/>
    <mergeCell ref="U740:U747"/>
    <mergeCell ref="V740:V747"/>
    <mergeCell ref="W740:W747"/>
    <mergeCell ref="X740:X747"/>
    <mergeCell ref="Y740:Y747"/>
    <mergeCell ref="Z740:Z747"/>
    <mergeCell ref="AA740:AA747"/>
    <mergeCell ref="AB740:AB747"/>
    <mergeCell ref="AC740:AC747"/>
    <mergeCell ref="AD740:AD747"/>
    <mergeCell ref="AE740:AE747"/>
    <mergeCell ref="AF740:AF747"/>
    <mergeCell ref="AG740:AG747"/>
    <mergeCell ref="AH740:AH747"/>
    <mergeCell ref="AI740:AI747"/>
    <mergeCell ref="AJ740:AJ747"/>
    <mergeCell ref="AK740:AK747"/>
    <mergeCell ref="AL740:AL747"/>
    <mergeCell ref="AM740:AM747"/>
    <mergeCell ref="AN740:AN747"/>
    <mergeCell ref="AO740:AO747"/>
    <mergeCell ref="AP740:AP747"/>
    <mergeCell ref="AQ740:AQ747"/>
    <mergeCell ref="AR740:AR747"/>
    <mergeCell ref="AS740:AS747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L748:L755"/>
    <mergeCell ref="M748:M755"/>
    <mergeCell ref="N748:N755"/>
    <mergeCell ref="O748:O755"/>
    <mergeCell ref="P748:P755"/>
    <mergeCell ref="Q748:Q755"/>
    <mergeCell ref="R748:R755"/>
    <mergeCell ref="S748:S755"/>
    <mergeCell ref="T748:T755"/>
    <mergeCell ref="U748:U755"/>
    <mergeCell ref="V748:V755"/>
    <mergeCell ref="W748:W755"/>
    <mergeCell ref="X748:X755"/>
    <mergeCell ref="Y748:Y755"/>
    <mergeCell ref="Z748:Z755"/>
    <mergeCell ref="AA748:AA755"/>
    <mergeCell ref="AB748:AB755"/>
    <mergeCell ref="AC748:AC755"/>
    <mergeCell ref="AD748:AD755"/>
    <mergeCell ref="AE748:AE755"/>
    <mergeCell ref="AF748:AF755"/>
    <mergeCell ref="AG748:AG755"/>
    <mergeCell ref="AH748:AH755"/>
    <mergeCell ref="AI748:AI755"/>
    <mergeCell ref="AJ748:AJ755"/>
    <mergeCell ref="AK748:AK755"/>
    <mergeCell ref="AL748:AL755"/>
    <mergeCell ref="AM748:AM755"/>
    <mergeCell ref="AN748:AN755"/>
    <mergeCell ref="AO748:AO755"/>
    <mergeCell ref="AP748:AP755"/>
    <mergeCell ref="AQ748:AQ755"/>
    <mergeCell ref="AR748:AR755"/>
    <mergeCell ref="AS748:AS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L756:L763"/>
    <mergeCell ref="M756:M763"/>
    <mergeCell ref="N756:N763"/>
    <mergeCell ref="O756:O763"/>
    <mergeCell ref="P756:P763"/>
    <mergeCell ref="Q756:Q763"/>
    <mergeCell ref="R756:R763"/>
    <mergeCell ref="S756:S763"/>
    <mergeCell ref="T756:T763"/>
    <mergeCell ref="U756:U763"/>
    <mergeCell ref="V756:V763"/>
    <mergeCell ref="W756:W763"/>
    <mergeCell ref="X756:X763"/>
    <mergeCell ref="Y756:Y763"/>
    <mergeCell ref="Z756:Z763"/>
    <mergeCell ref="AA756:AA763"/>
    <mergeCell ref="AB756:AB763"/>
    <mergeCell ref="AC756:AC763"/>
    <mergeCell ref="AD756:AD763"/>
    <mergeCell ref="AE756:AE763"/>
    <mergeCell ref="AF756:AF763"/>
    <mergeCell ref="AG756:AG763"/>
    <mergeCell ref="AH756:AH763"/>
    <mergeCell ref="AI756:AI763"/>
    <mergeCell ref="AJ756:AJ763"/>
    <mergeCell ref="AK756:AK763"/>
    <mergeCell ref="AL756:AL763"/>
    <mergeCell ref="AM756:AM763"/>
    <mergeCell ref="AN756:AN763"/>
    <mergeCell ref="AO756:AO763"/>
    <mergeCell ref="AP756:AP763"/>
    <mergeCell ref="AQ756:AQ763"/>
    <mergeCell ref="AR756:AR763"/>
    <mergeCell ref="AS756:AS763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V764:V771"/>
    <mergeCell ref="W764:W771"/>
    <mergeCell ref="X764:X771"/>
    <mergeCell ref="Y764:Y771"/>
    <mergeCell ref="Z764:Z771"/>
    <mergeCell ref="AA764:AA771"/>
    <mergeCell ref="AB764:AB771"/>
    <mergeCell ref="AC764:AC771"/>
    <mergeCell ref="AD764:AD771"/>
    <mergeCell ref="AE764:AE771"/>
    <mergeCell ref="AF764:AF771"/>
    <mergeCell ref="AG764:AG771"/>
    <mergeCell ref="AH764:AH771"/>
    <mergeCell ref="AI764:AI771"/>
    <mergeCell ref="AJ764:AJ771"/>
    <mergeCell ref="AK764:AK771"/>
    <mergeCell ref="AL764:AL771"/>
    <mergeCell ref="AM764:AM771"/>
    <mergeCell ref="AN764:AN771"/>
    <mergeCell ref="AO764:AO771"/>
    <mergeCell ref="AP764:AP771"/>
    <mergeCell ref="AQ764:AQ771"/>
    <mergeCell ref="AR764:AR771"/>
    <mergeCell ref="AS764:AS771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L772:L779"/>
    <mergeCell ref="M772:M779"/>
    <mergeCell ref="N772:N779"/>
    <mergeCell ref="O772:O779"/>
    <mergeCell ref="P772:P779"/>
    <mergeCell ref="Q772:Q779"/>
    <mergeCell ref="R772:R779"/>
    <mergeCell ref="S772:S779"/>
    <mergeCell ref="T772:T779"/>
    <mergeCell ref="U772:U779"/>
    <mergeCell ref="V772:V779"/>
    <mergeCell ref="W772:W779"/>
    <mergeCell ref="X772:X779"/>
    <mergeCell ref="Y772:Y779"/>
    <mergeCell ref="Z772:Z779"/>
    <mergeCell ref="AA772:AA779"/>
    <mergeCell ref="AB772:AB779"/>
    <mergeCell ref="AC772:AC779"/>
    <mergeCell ref="AD772:AD779"/>
    <mergeCell ref="AE772:AE779"/>
    <mergeCell ref="AF772:AF779"/>
    <mergeCell ref="AG772:AG779"/>
    <mergeCell ref="AH772:AH779"/>
    <mergeCell ref="AI772:AI779"/>
    <mergeCell ref="AJ772:AJ779"/>
    <mergeCell ref="AK772:AK779"/>
    <mergeCell ref="AL772:AL779"/>
    <mergeCell ref="AM772:AM779"/>
    <mergeCell ref="AN772:AN779"/>
    <mergeCell ref="AO772:AO779"/>
    <mergeCell ref="AP772:AP779"/>
    <mergeCell ref="AQ772:AQ779"/>
    <mergeCell ref="AR772:AR779"/>
    <mergeCell ref="AS772:AS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L780:L787"/>
    <mergeCell ref="M780:M787"/>
    <mergeCell ref="N780:N787"/>
    <mergeCell ref="O780:O787"/>
    <mergeCell ref="P780:P787"/>
    <mergeCell ref="Q780:Q787"/>
    <mergeCell ref="R780:R787"/>
    <mergeCell ref="S780:S787"/>
    <mergeCell ref="T780:T787"/>
    <mergeCell ref="U780:U787"/>
    <mergeCell ref="V780:V787"/>
    <mergeCell ref="W780:W787"/>
    <mergeCell ref="X780:X787"/>
    <mergeCell ref="Y780:Y787"/>
    <mergeCell ref="Z780:Z787"/>
    <mergeCell ref="AA780:AA787"/>
    <mergeCell ref="AB780:AB787"/>
    <mergeCell ref="AC780:AC787"/>
    <mergeCell ref="AD780:AD787"/>
    <mergeCell ref="AE780:AE787"/>
    <mergeCell ref="AF780:AF787"/>
    <mergeCell ref="AG780:AG787"/>
    <mergeCell ref="AH780:AH787"/>
    <mergeCell ref="AI780:AI787"/>
    <mergeCell ref="AJ780:AJ787"/>
    <mergeCell ref="AK780:AK787"/>
    <mergeCell ref="AL780:AL787"/>
    <mergeCell ref="AM780:AM787"/>
    <mergeCell ref="AN780:AN787"/>
    <mergeCell ref="AO780:AO787"/>
    <mergeCell ref="AP780:AP787"/>
    <mergeCell ref="AQ780:AQ787"/>
    <mergeCell ref="AR780:AR787"/>
    <mergeCell ref="AS780:AS787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B788:AB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AP788:AP795"/>
    <mergeCell ref="AQ788:AQ795"/>
    <mergeCell ref="AR788:AR795"/>
    <mergeCell ref="AS788:AS795"/>
    <mergeCell ref="C796:D796"/>
    <mergeCell ref="C798:D798"/>
    <mergeCell ref="AJ788:AJ795"/>
    <mergeCell ref="AK788:AK795"/>
    <mergeCell ref="AL788:AL795"/>
    <mergeCell ref="AM788:AM795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L309:L316"/>
    <mergeCell ref="M309:M316"/>
    <mergeCell ref="N309:N316"/>
    <mergeCell ref="O309:O316"/>
    <mergeCell ref="P309:P316"/>
    <mergeCell ref="Q309:Q316"/>
    <mergeCell ref="R309:R316"/>
    <mergeCell ref="S309:S316"/>
    <mergeCell ref="T309:T316"/>
    <mergeCell ref="U309:U316"/>
    <mergeCell ref="V309:V316"/>
    <mergeCell ref="W309:W316"/>
    <mergeCell ref="X309:X316"/>
    <mergeCell ref="Y309:Y316"/>
    <mergeCell ref="Z309:Z316"/>
    <mergeCell ref="AA309:AA316"/>
    <mergeCell ref="AB309:AB316"/>
    <mergeCell ref="AC309:AC316"/>
    <mergeCell ref="AD309:AD316"/>
    <mergeCell ref="AE309:AE316"/>
    <mergeCell ref="AF309:AF316"/>
    <mergeCell ref="AG309:AG316"/>
    <mergeCell ref="AH309:AH316"/>
    <mergeCell ref="AI309:AI316"/>
    <mergeCell ref="AJ309:AJ316"/>
    <mergeCell ref="AK309:AK316"/>
    <mergeCell ref="AL309:AL316"/>
    <mergeCell ref="AM309:AM316"/>
    <mergeCell ref="AN309:AN316"/>
    <mergeCell ref="AO309:AO316"/>
    <mergeCell ref="AP309:AP316"/>
    <mergeCell ref="AQ309:AQ316"/>
    <mergeCell ref="AR309:AR316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K317:K324"/>
    <mergeCell ref="L317:L324"/>
    <mergeCell ref="M317:M324"/>
    <mergeCell ref="N317:N324"/>
    <mergeCell ref="O317:O324"/>
    <mergeCell ref="P317:P324"/>
    <mergeCell ref="Q317:Q324"/>
    <mergeCell ref="R317:R324"/>
    <mergeCell ref="S317:S324"/>
    <mergeCell ref="T317:T324"/>
    <mergeCell ref="U317:U324"/>
    <mergeCell ref="V317:V324"/>
    <mergeCell ref="W317:W324"/>
    <mergeCell ref="X317:X324"/>
    <mergeCell ref="Y317:Y324"/>
    <mergeCell ref="Z317:Z324"/>
    <mergeCell ref="AA317:AA324"/>
    <mergeCell ref="AB317:AB324"/>
    <mergeCell ref="AC317:AC324"/>
    <mergeCell ref="AD317:AD324"/>
    <mergeCell ref="AE317:AE324"/>
    <mergeCell ref="AF317:AF324"/>
    <mergeCell ref="AG317:AG324"/>
    <mergeCell ref="AH317:AH324"/>
    <mergeCell ref="AI317:AI324"/>
    <mergeCell ref="AJ317:AJ324"/>
    <mergeCell ref="AK317:AK324"/>
    <mergeCell ref="AL317:AL324"/>
    <mergeCell ref="AM317:AM324"/>
    <mergeCell ref="AN317:AN324"/>
    <mergeCell ref="AO317:AO324"/>
    <mergeCell ref="AP317:AP324"/>
    <mergeCell ref="AQ317:AQ324"/>
    <mergeCell ref="AR317:AR324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landscape" paperSize="8" scale="33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95</v>
      </c>
      <c r="R3" s="31" t="s">
        <v>311</v>
      </c>
    </row>
    <row r="4" ht="15.75" thickBot="1">
      <c r="G4" s="60" t="s">
        <v>58</v>
      </c>
    </row>
    <row r="5" spans="1:30" ht="13.5" customHeight="1" thickBot="1">
      <c r="A5" s="288" t="s">
        <v>2</v>
      </c>
      <c r="B5" s="290" t="s">
        <v>99</v>
      </c>
      <c r="C5" s="292" t="s">
        <v>101</v>
      </c>
      <c r="D5" s="293"/>
      <c r="E5" s="333" t="s">
        <v>295</v>
      </c>
      <c r="F5" s="298" t="s">
        <v>20</v>
      </c>
      <c r="G5" s="280"/>
      <c r="H5" s="280" t="s">
        <v>19</v>
      </c>
      <c r="I5" s="280"/>
      <c r="J5" s="280" t="s">
        <v>21</v>
      </c>
      <c r="K5" s="280"/>
      <c r="L5" s="284" t="s">
        <v>22</v>
      </c>
      <c r="M5" s="284"/>
      <c r="N5" s="285" t="s">
        <v>23</v>
      </c>
      <c r="O5" s="286"/>
      <c r="P5" s="285" t="s">
        <v>24</v>
      </c>
      <c r="Q5" s="286"/>
      <c r="R5" s="287" t="s">
        <v>25</v>
      </c>
      <c r="S5" s="287"/>
      <c r="T5" s="280" t="s">
        <v>26</v>
      </c>
      <c r="U5" s="280"/>
      <c r="V5" s="280" t="s">
        <v>27</v>
      </c>
      <c r="W5" s="280"/>
      <c r="X5" s="280" t="s">
        <v>28</v>
      </c>
      <c r="Y5" s="280"/>
      <c r="Z5" s="280" t="s">
        <v>29</v>
      </c>
      <c r="AA5" s="280"/>
      <c r="AB5" s="280" t="s">
        <v>30</v>
      </c>
      <c r="AC5" s="281"/>
      <c r="AD5" s="331" t="s">
        <v>312</v>
      </c>
    </row>
    <row r="6" spans="1:30" s="1" customFormat="1" ht="45.75" customHeight="1" thickBot="1">
      <c r="A6" s="289"/>
      <c r="B6" s="291"/>
      <c r="C6" s="294"/>
      <c r="D6" s="295"/>
      <c r="E6" s="334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93" t="s">
        <v>33</v>
      </c>
      <c r="AD6" s="332"/>
    </row>
    <row r="7" spans="1:30" s="4" customFormat="1" ht="10.5" customHeight="1" thickBot="1">
      <c r="A7" s="13" t="s">
        <v>4</v>
      </c>
      <c r="B7" s="13" t="s">
        <v>100</v>
      </c>
      <c r="C7" s="278" t="s">
        <v>5</v>
      </c>
      <c r="D7" s="279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4" t="s">
        <v>31</v>
      </c>
      <c r="B8" s="234" t="s">
        <v>250</v>
      </c>
      <c r="C8" s="23" t="s">
        <v>40</v>
      </c>
      <c r="D8" s="186" t="s">
        <v>253</v>
      </c>
      <c r="E8" s="315">
        <v>0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8"/>
      <c r="AA8" s="299"/>
      <c r="AB8" s="299"/>
      <c r="AC8" s="299"/>
      <c r="AD8" s="302">
        <f>E8+F8+H8+J8+L8+N8+P8+R8+T8+V8+X8+Z8+AB8-G8-I8-K8-M8-O8-Q8-S8-U8-W8-Y8-AA8-AC8</f>
        <v>0</v>
      </c>
    </row>
    <row r="9" spans="1:30" ht="22.5" hidden="1">
      <c r="A9" s="232"/>
      <c r="B9" s="235"/>
      <c r="C9" s="61" t="s">
        <v>63</v>
      </c>
      <c r="D9" s="179" t="s">
        <v>251</v>
      </c>
      <c r="E9" s="31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9"/>
      <c r="AA9" s="300"/>
      <c r="AB9" s="300"/>
      <c r="AC9" s="300"/>
      <c r="AD9" s="303"/>
    </row>
    <row r="10" spans="1:30" ht="22.5" hidden="1">
      <c r="A10" s="232"/>
      <c r="B10" s="235"/>
      <c r="C10" s="25" t="s">
        <v>64</v>
      </c>
      <c r="D10" s="180" t="s">
        <v>252</v>
      </c>
      <c r="E10" s="31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9"/>
      <c r="AA10" s="300"/>
      <c r="AB10" s="300"/>
      <c r="AC10" s="300"/>
      <c r="AD10" s="303"/>
    </row>
    <row r="11" spans="1:30" ht="12.75" hidden="1">
      <c r="A11" s="232"/>
      <c r="B11" s="235"/>
      <c r="C11" s="24" t="s">
        <v>38</v>
      </c>
      <c r="D11" s="176">
        <v>2889000</v>
      </c>
      <c r="E11" s="31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9"/>
      <c r="AA11" s="300"/>
      <c r="AB11" s="300"/>
      <c r="AC11" s="300"/>
      <c r="AD11" s="303"/>
    </row>
    <row r="12" spans="1:30" ht="12.75" hidden="1">
      <c r="A12" s="232"/>
      <c r="B12" s="235"/>
      <c r="C12" s="25" t="s">
        <v>39</v>
      </c>
      <c r="D12" s="181">
        <v>44153</v>
      </c>
      <c r="E12" s="31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9"/>
      <c r="AA12" s="300"/>
      <c r="AB12" s="300"/>
      <c r="AC12" s="300"/>
      <c r="AD12" s="303"/>
    </row>
    <row r="13" spans="1:30" ht="12.75" hidden="1">
      <c r="A13" s="232"/>
      <c r="B13" s="235"/>
      <c r="C13" s="62" t="s">
        <v>1</v>
      </c>
      <c r="D13" s="182">
        <v>0.01</v>
      </c>
      <c r="E13" s="31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9"/>
      <c r="AA13" s="300"/>
      <c r="AB13" s="300"/>
      <c r="AC13" s="300"/>
      <c r="AD13" s="303"/>
    </row>
    <row r="14" spans="1:30" ht="12.75" hidden="1">
      <c r="A14" s="232"/>
      <c r="B14" s="235"/>
      <c r="C14" s="62" t="s">
        <v>41</v>
      </c>
      <c r="D14" s="177"/>
      <c r="E14" s="31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9"/>
      <c r="AA14" s="300"/>
      <c r="AB14" s="300"/>
      <c r="AC14" s="300"/>
      <c r="AD14" s="303"/>
    </row>
    <row r="15" spans="1:30" ht="13.5" hidden="1" thickBot="1">
      <c r="A15" s="233"/>
      <c r="B15" s="236"/>
      <c r="C15" s="63"/>
      <c r="D15" s="178"/>
      <c r="E15" s="31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10"/>
      <c r="AA15" s="301"/>
      <c r="AB15" s="301"/>
      <c r="AC15" s="301"/>
      <c r="AD15" s="304"/>
    </row>
    <row r="16" spans="1:30" ht="25.5" customHeight="1">
      <c r="A16" s="314" t="s">
        <v>43</v>
      </c>
      <c r="B16" s="234" t="s">
        <v>314</v>
      </c>
      <c r="C16" s="23" t="s">
        <v>40</v>
      </c>
      <c r="D16" s="186" t="s">
        <v>316</v>
      </c>
      <c r="E16" s="315">
        <v>0</v>
      </c>
      <c r="F16" s="305"/>
      <c r="G16" s="305"/>
      <c r="H16" s="305"/>
      <c r="I16" s="305"/>
      <c r="J16" s="311">
        <v>15000000</v>
      </c>
      <c r="K16" s="305"/>
      <c r="L16" s="305"/>
      <c r="M16" s="305"/>
      <c r="N16" s="305"/>
      <c r="O16" s="305"/>
      <c r="P16" s="305"/>
      <c r="Q16" s="311">
        <v>15000000</v>
      </c>
      <c r="R16" s="305"/>
      <c r="S16" s="305"/>
      <c r="T16" s="305"/>
      <c r="U16" s="305"/>
      <c r="V16" s="305"/>
      <c r="W16" s="305"/>
      <c r="X16" s="305"/>
      <c r="Y16" s="305"/>
      <c r="Z16" s="308"/>
      <c r="AA16" s="299"/>
      <c r="AB16" s="299"/>
      <c r="AC16" s="299"/>
      <c r="AD16" s="302">
        <f>E16+F16+H16+J16+L16+N16+P16+R16+T16+V16+X16+Z16+AB16-G16-I16-K16-M16-O16-Q16-S16-U16-W16-Y16-AA16-AC16</f>
        <v>0</v>
      </c>
    </row>
    <row r="17" spans="1:30" ht="24" customHeight="1">
      <c r="A17" s="232"/>
      <c r="B17" s="235"/>
      <c r="C17" s="61" t="s">
        <v>63</v>
      </c>
      <c r="D17" s="179" t="s">
        <v>251</v>
      </c>
      <c r="E17" s="316"/>
      <c r="F17" s="306"/>
      <c r="G17" s="306"/>
      <c r="H17" s="306"/>
      <c r="I17" s="306"/>
      <c r="J17" s="312"/>
      <c r="K17" s="306"/>
      <c r="L17" s="306"/>
      <c r="M17" s="306"/>
      <c r="N17" s="306"/>
      <c r="O17" s="306"/>
      <c r="P17" s="306"/>
      <c r="Q17" s="312"/>
      <c r="R17" s="306"/>
      <c r="S17" s="306"/>
      <c r="T17" s="306"/>
      <c r="U17" s="306"/>
      <c r="V17" s="306"/>
      <c r="W17" s="306"/>
      <c r="X17" s="306"/>
      <c r="Y17" s="306"/>
      <c r="Z17" s="309"/>
      <c r="AA17" s="300"/>
      <c r="AB17" s="300"/>
      <c r="AC17" s="300"/>
      <c r="AD17" s="303"/>
    </row>
    <row r="18" spans="1:30" ht="27" customHeight="1">
      <c r="A18" s="232"/>
      <c r="B18" s="235"/>
      <c r="C18" s="25" t="s">
        <v>64</v>
      </c>
      <c r="D18" s="180" t="s">
        <v>315</v>
      </c>
      <c r="E18" s="316"/>
      <c r="F18" s="306"/>
      <c r="G18" s="306"/>
      <c r="H18" s="306"/>
      <c r="I18" s="306"/>
      <c r="J18" s="312"/>
      <c r="K18" s="306"/>
      <c r="L18" s="306"/>
      <c r="M18" s="306"/>
      <c r="N18" s="306"/>
      <c r="O18" s="306"/>
      <c r="P18" s="306"/>
      <c r="Q18" s="312"/>
      <c r="R18" s="306"/>
      <c r="S18" s="306"/>
      <c r="T18" s="306"/>
      <c r="U18" s="306"/>
      <c r="V18" s="306"/>
      <c r="W18" s="306"/>
      <c r="X18" s="306"/>
      <c r="Y18" s="306"/>
      <c r="Z18" s="309"/>
      <c r="AA18" s="300"/>
      <c r="AB18" s="300"/>
      <c r="AC18" s="300"/>
      <c r="AD18" s="303"/>
    </row>
    <row r="19" spans="1:30" ht="15" customHeight="1">
      <c r="A19" s="232"/>
      <c r="B19" s="235"/>
      <c r="C19" s="24" t="s">
        <v>38</v>
      </c>
      <c r="D19" s="176">
        <v>15000000</v>
      </c>
      <c r="E19" s="316"/>
      <c r="F19" s="306"/>
      <c r="G19" s="306"/>
      <c r="H19" s="306"/>
      <c r="I19" s="306"/>
      <c r="J19" s="312"/>
      <c r="K19" s="306"/>
      <c r="L19" s="306"/>
      <c r="M19" s="306"/>
      <c r="N19" s="306"/>
      <c r="O19" s="306"/>
      <c r="P19" s="306"/>
      <c r="Q19" s="312"/>
      <c r="R19" s="306"/>
      <c r="S19" s="306"/>
      <c r="T19" s="306"/>
      <c r="U19" s="306"/>
      <c r="V19" s="306"/>
      <c r="W19" s="306"/>
      <c r="X19" s="306"/>
      <c r="Y19" s="306"/>
      <c r="Z19" s="309"/>
      <c r="AA19" s="300"/>
      <c r="AB19" s="300"/>
      <c r="AC19" s="300"/>
      <c r="AD19" s="303"/>
    </row>
    <row r="20" spans="1:30" ht="15" customHeight="1">
      <c r="A20" s="232"/>
      <c r="B20" s="235"/>
      <c r="C20" s="25" t="s">
        <v>39</v>
      </c>
      <c r="D20" s="181">
        <v>44921</v>
      </c>
      <c r="E20" s="316"/>
      <c r="F20" s="306"/>
      <c r="G20" s="306"/>
      <c r="H20" s="306"/>
      <c r="I20" s="306"/>
      <c r="J20" s="312"/>
      <c r="K20" s="306"/>
      <c r="L20" s="306"/>
      <c r="M20" s="306"/>
      <c r="N20" s="306"/>
      <c r="O20" s="306"/>
      <c r="P20" s="306"/>
      <c r="Q20" s="312"/>
      <c r="R20" s="306"/>
      <c r="S20" s="306"/>
      <c r="T20" s="306"/>
      <c r="U20" s="306"/>
      <c r="V20" s="306"/>
      <c r="W20" s="306"/>
      <c r="X20" s="306"/>
      <c r="Y20" s="306"/>
      <c r="Z20" s="309"/>
      <c r="AA20" s="300"/>
      <c r="AB20" s="300"/>
      <c r="AC20" s="300"/>
      <c r="AD20" s="303"/>
    </row>
    <row r="21" spans="1:30" ht="15" customHeight="1">
      <c r="A21" s="232"/>
      <c r="B21" s="235"/>
      <c r="C21" s="24" t="s">
        <v>1</v>
      </c>
      <c r="D21" s="182">
        <v>0.01</v>
      </c>
      <c r="E21" s="316"/>
      <c r="F21" s="306"/>
      <c r="G21" s="306"/>
      <c r="H21" s="306"/>
      <c r="I21" s="306"/>
      <c r="J21" s="312"/>
      <c r="K21" s="306"/>
      <c r="L21" s="306"/>
      <c r="M21" s="306"/>
      <c r="N21" s="306"/>
      <c r="O21" s="306"/>
      <c r="P21" s="306"/>
      <c r="Q21" s="312"/>
      <c r="R21" s="306"/>
      <c r="S21" s="306"/>
      <c r="T21" s="306"/>
      <c r="U21" s="306"/>
      <c r="V21" s="306"/>
      <c r="W21" s="306"/>
      <c r="X21" s="306"/>
      <c r="Y21" s="306"/>
      <c r="Z21" s="309"/>
      <c r="AA21" s="300"/>
      <c r="AB21" s="300"/>
      <c r="AC21" s="300"/>
      <c r="AD21" s="303"/>
    </row>
    <row r="22" spans="1:30" ht="15" customHeight="1">
      <c r="A22" s="232"/>
      <c r="B22" s="235"/>
      <c r="C22" s="24" t="s">
        <v>41</v>
      </c>
      <c r="D22" s="177"/>
      <c r="E22" s="316"/>
      <c r="F22" s="306"/>
      <c r="G22" s="306"/>
      <c r="H22" s="306"/>
      <c r="I22" s="306"/>
      <c r="J22" s="312"/>
      <c r="K22" s="306"/>
      <c r="L22" s="306"/>
      <c r="M22" s="306"/>
      <c r="N22" s="306"/>
      <c r="O22" s="306"/>
      <c r="P22" s="306"/>
      <c r="Q22" s="312"/>
      <c r="R22" s="306"/>
      <c r="S22" s="306"/>
      <c r="T22" s="306"/>
      <c r="U22" s="306"/>
      <c r="V22" s="306"/>
      <c r="W22" s="306"/>
      <c r="X22" s="306"/>
      <c r="Y22" s="306"/>
      <c r="Z22" s="309"/>
      <c r="AA22" s="300"/>
      <c r="AB22" s="300"/>
      <c r="AC22" s="300"/>
      <c r="AD22" s="303"/>
    </row>
    <row r="23" spans="1:30" ht="3" customHeight="1" thickBot="1">
      <c r="A23" s="233"/>
      <c r="B23" s="236"/>
      <c r="C23" s="26"/>
      <c r="D23" s="178"/>
      <c r="E23" s="317"/>
      <c r="F23" s="307"/>
      <c r="G23" s="307"/>
      <c r="H23" s="307"/>
      <c r="I23" s="307"/>
      <c r="J23" s="313"/>
      <c r="K23" s="307"/>
      <c r="L23" s="307"/>
      <c r="M23" s="307"/>
      <c r="N23" s="307"/>
      <c r="O23" s="307"/>
      <c r="P23" s="307"/>
      <c r="Q23" s="313"/>
      <c r="R23" s="307"/>
      <c r="S23" s="307"/>
      <c r="T23" s="307"/>
      <c r="U23" s="307"/>
      <c r="V23" s="307"/>
      <c r="W23" s="307"/>
      <c r="X23" s="307"/>
      <c r="Y23" s="307"/>
      <c r="Z23" s="310"/>
      <c r="AA23" s="301"/>
      <c r="AB23" s="301"/>
      <c r="AC23" s="301"/>
      <c r="AD23" s="304"/>
    </row>
    <row r="24" spans="1:30" ht="25.5" customHeight="1">
      <c r="A24" s="314" t="s">
        <v>44</v>
      </c>
      <c r="B24" s="234" t="s">
        <v>320</v>
      </c>
      <c r="C24" s="23" t="s">
        <v>40</v>
      </c>
      <c r="D24" s="186" t="s">
        <v>321</v>
      </c>
      <c r="E24" s="315">
        <v>0</v>
      </c>
      <c r="F24" s="305"/>
      <c r="G24" s="305"/>
      <c r="H24" s="305"/>
      <c r="I24" s="305"/>
      <c r="J24" s="311"/>
      <c r="K24" s="305"/>
      <c r="L24" s="305"/>
      <c r="M24" s="305"/>
      <c r="N24" s="311">
        <v>20000000</v>
      </c>
      <c r="O24" s="305"/>
      <c r="P24" s="305"/>
      <c r="Q24" s="311">
        <v>20000000</v>
      </c>
      <c r="R24" s="305"/>
      <c r="S24" s="305"/>
      <c r="T24" s="305"/>
      <c r="U24" s="305"/>
      <c r="V24" s="305"/>
      <c r="W24" s="305"/>
      <c r="X24" s="305"/>
      <c r="Y24" s="305"/>
      <c r="Z24" s="308"/>
      <c r="AA24" s="299"/>
      <c r="AB24" s="299"/>
      <c r="AC24" s="299"/>
      <c r="AD24" s="302">
        <f>E24+F24+H24+J24+L24+N24+P24+R24+T24+V24+X24+Z24+AB24-G24-I24-K24-M24-O24-Q24-S24-U24-W24-Y24-AA24-AC24</f>
        <v>0</v>
      </c>
    </row>
    <row r="25" spans="1:30" ht="24" customHeight="1">
      <c r="A25" s="232"/>
      <c r="B25" s="235"/>
      <c r="C25" s="61" t="s">
        <v>63</v>
      </c>
      <c r="D25" s="179" t="s">
        <v>251</v>
      </c>
      <c r="E25" s="316"/>
      <c r="F25" s="306"/>
      <c r="G25" s="306"/>
      <c r="H25" s="306"/>
      <c r="I25" s="306"/>
      <c r="J25" s="312"/>
      <c r="K25" s="306"/>
      <c r="L25" s="306"/>
      <c r="M25" s="306"/>
      <c r="N25" s="312"/>
      <c r="O25" s="306"/>
      <c r="P25" s="306"/>
      <c r="Q25" s="312"/>
      <c r="R25" s="306"/>
      <c r="S25" s="306"/>
      <c r="T25" s="306"/>
      <c r="U25" s="306"/>
      <c r="V25" s="306"/>
      <c r="W25" s="306"/>
      <c r="X25" s="306"/>
      <c r="Y25" s="306"/>
      <c r="Z25" s="309"/>
      <c r="AA25" s="300"/>
      <c r="AB25" s="300"/>
      <c r="AC25" s="300"/>
      <c r="AD25" s="303"/>
    </row>
    <row r="26" spans="1:30" ht="34.5" customHeight="1">
      <c r="A26" s="232"/>
      <c r="B26" s="235"/>
      <c r="C26" s="25" t="s">
        <v>64</v>
      </c>
      <c r="D26" s="180" t="s">
        <v>322</v>
      </c>
      <c r="E26" s="316"/>
      <c r="F26" s="306"/>
      <c r="G26" s="306"/>
      <c r="H26" s="306"/>
      <c r="I26" s="306"/>
      <c r="J26" s="312"/>
      <c r="K26" s="306"/>
      <c r="L26" s="306"/>
      <c r="M26" s="306"/>
      <c r="N26" s="312"/>
      <c r="O26" s="306"/>
      <c r="P26" s="306"/>
      <c r="Q26" s="312"/>
      <c r="R26" s="306"/>
      <c r="S26" s="306"/>
      <c r="T26" s="306"/>
      <c r="U26" s="306"/>
      <c r="V26" s="306"/>
      <c r="W26" s="306"/>
      <c r="X26" s="306"/>
      <c r="Y26" s="306"/>
      <c r="Z26" s="309"/>
      <c r="AA26" s="300"/>
      <c r="AB26" s="300"/>
      <c r="AC26" s="300"/>
      <c r="AD26" s="303"/>
    </row>
    <row r="27" spans="1:30" ht="15" customHeight="1">
      <c r="A27" s="232"/>
      <c r="B27" s="235"/>
      <c r="C27" s="24" t="s">
        <v>38</v>
      </c>
      <c r="D27" s="176">
        <v>20000000</v>
      </c>
      <c r="E27" s="316"/>
      <c r="F27" s="306"/>
      <c r="G27" s="306"/>
      <c r="H27" s="306"/>
      <c r="I27" s="306"/>
      <c r="J27" s="312"/>
      <c r="K27" s="306"/>
      <c r="L27" s="306"/>
      <c r="M27" s="306"/>
      <c r="N27" s="312"/>
      <c r="O27" s="306"/>
      <c r="P27" s="306"/>
      <c r="Q27" s="312"/>
      <c r="R27" s="306"/>
      <c r="S27" s="306"/>
      <c r="T27" s="306"/>
      <c r="U27" s="306"/>
      <c r="V27" s="306"/>
      <c r="W27" s="306"/>
      <c r="X27" s="306"/>
      <c r="Y27" s="306"/>
      <c r="Z27" s="309"/>
      <c r="AA27" s="300"/>
      <c r="AB27" s="300"/>
      <c r="AC27" s="300"/>
      <c r="AD27" s="303"/>
    </row>
    <row r="28" spans="1:30" ht="15" customHeight="1">
      <c r="A28" s="232"/>
      <c r="B28" s="235"/>
      <c r="C28" s="25" t="s">
        <v>39</v>
      </c>
      <c r="D28" s="181">
        <v>44921</v>
      </c>
      <c r="E28" s="316"/>
      <c r="F28" s="306"/>
      <c r="G28" s="306"/>
      <c r="H28" s="306"/>
      <c r="I28" s="306"/>
      <c r="J28" s="312"/>
      <c r="K28" s="306"/>
      <c r="L28" s="306"/>
      <c r="M28" s="306"/>
      <c r="N28" s="312"/>
      <c r="O28" s="306"/>
      <c r="P28" s="306"/>
      <c r="Q28" s="312"/>
      <c r="R28" s="306"/>
      <c r="S28" s="306"/>
      <c r="T28" s="306"/>
      <c r="U28" s="306"/>
      <c r="V28" s="306"/>
      <c r="W28" s="306"/>
      <c r="X28" s="306"/>
      <c r="Y28" s="306"/>
      <c r="Z28" s="309"/>
      <c r="AA28" s="300"/>
      <c r="AB28" s="300"/>
      <c r="AC28" s="300"/>
      <c r="AD28" s="303"/>
    </row>
    <row r="29" spans="1:30" ht="15" customHeight="1">
      <c r="A29" s="232"/>
      <c r="B29" s="235"/>
      <c r="C29" s="24" t="s">
        <v>1</v>
      </c>
      <c r="D29" s="182">
        <v>0.01</v>
      </c>
      <c r="E29" s="316"/>
      <c r="F29" s="306"/>
      <c r="G29" s="306"/>
      <c r="H29" s="306"/>
      <c r="I29" s="306"/>
      <c r="J29" s="312"/>
      <c r="K29" s="306"/>
      <c r="L29" s="306"/>
      <c r="M29" s="306"/>
      <c r="N29" s="312"/>
      <c r="O29" s="306"/>
      <c r="P29" s="306"/>
      <c r="Q29" s="312"/>
      <c r="R29" s="306"/>
      <c r="S29" s="306"/>
      <c r="T29" s="306"/>
      <c r="U29" s="306"/>
      <c r="V29" s="306"/>
      <c r="W29" s="306"/>
      <c r="X29" s="306"/>
      <c r="Y29" s="306"/>
      <c r="Z29" s="309"/>
      <c r="AA29" s="300"/>
      <c r="AB29" s="300"/>
      <c r="AC29" s="300"/>
      <c r="AD29" s="303"/>
    </row>
    <row r="30" spans="1:30" ht="15" customHeight="1">
      <c r="A30" s="232"/>
      <c r="B30" s="235"/>
      <c r="C30" s="24" t="s">
        <v>41</v>
      </c>
      <c r="D30" s="177"/>
      <c r="E30" s="316"/>
      <c r="F30" s="306"/>
      <c r="G30" s="306"/>
      <c r="H30" s="306"/>
      <c r="I30" s="306"/>
      <c r="J30" s="312"/>
      <c r="K30" s="306"/>
      <c r="L30" s="306"/>
      <c r="M30" s="306"/>
      <c r="N30" s="312"/>
      <c r="O30" s="306"/>
      <c r="P30" s="306"/>
      <c r="Q30" s="312"/>
      <c r="R30" s="306"/>
      <c r="S30" s="306"/>
      <c r="T30" s="306"/>
      <c r="U30" s="306"/>
      <c r="V30" s="306"/>
      <c r="W30" s="306"/>
      <c r="X30" s="306"/>
      <c r="Y30" s="306"/>
      <c r="Z30" s="309"/>
      <c r="AA30" s="300"/>
      <c r="AB30" s="300"/>
      <c r="AC30" s="300"/>
      <c r="AD30" s="303"/>
    </row>
    <row r="31" spans="1:30" ht="2.25" customHeight="1" thickBot="1">
      <c r="A31" s="233"/>
      <c r="B31" s="236"/>
      <c r="C31" s="26"/>
      <c r="D31" s="178"/>
      <c r="E31" s="317"/>
      <c r="F31" s="307"/>
      <c r="G31" s="307"/>
      <c r="H31" s="307"/>
      <c r="I31" s="307"/>
      <c r="J31" s="313"/>
      <c r="K31" s="307"/>
      <c r="L31" s="307"/>
      <c r="M31" s="307"/>
      <c r="N31" s="313"/>
      <c r="O31" s="307"/>
      <c r="P31" s="307"/>
      <c r="Q31" s="313"/>
      <c r="R31" s="307"/>
      <c r="S31" s="307"/>
      <c r="T31" s="307"/>
      <c r="U31" s="307"/>
      <c r="V31" s="307"/>
      <c r="W31" s="307"/>
      <c r="X31" s="307"/>
      <c r="Y31" s="307"/>
      <c r="Z31" s="310"/>
      <c r="AA31" s="301"/>
      <c r="AB31" s="301"/>
      <c r="AC31" s="301"/>
      <c r="AD31" s="304"/>
    </row>
    <row r="32" spans="1:30" ht="25.5" customHeight="1" hidden="1">
      <c r="A32" s="314"/>
      <c r="B32" s="234"/>
      <c r="C32" s="23"/>
      <c r="D32" s="186"/>
      <c r="E32" s="315"/>
      <c r="F32" s="305"/>
      <c r="G32" s="305"/>
      <c r="H32" s="305"/>
      <c r="I32" s="305"/>
      <c r="J32" s="311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8"/>
      <c r="AA32" s="299"/>
      <c r="AB32" s="299"/>
      <c r="AC32" s="299"/>
      <c r="AD32" s="302"/>
    </row>
    <row r="33" spans="1:30" ht="24" customHeight="1" hidden="1">
      <c r="A33" s="232"/>
      <c r="B33" s="235"/>
      <c r="C33" s="61"/>
      <c r="D33" s="179"/>
      <c r="E33" s="316"/>
      <c r="F33" s="306"/>
      <c r="G33" s="306"/>
      <c r="H33" s="306"/>
      <c r="I33" s="306"/>
      <c r="J33" s="312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9"/>
      <c r="AA33" s="300"/>
      <c r="AB33" s="300"/>
      <c r="AC33" s="300"/>
      <c r="AD33" s="303"/>
    </row>
    <row r="34" spans="1:30" ht="27" customHeight="1" hidden="1">
      <c r="A34" s="232"/>
      <c r="B34" s="235"/>
      <c r="C34" s="25"/>
      <c r="D34" s="180"/>
      <c r="E34" s="316"/>
      <c r="F34" s="306"/>
      <c r="G34" s="306"/>
      <c r="H34" s="306"/>
      <c r="I34" s="306"/>
      <c r="J34" s="312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9"/>
      <c r="AA34" s="300"/>
      <c r="AB34" s="300"/>
      <c r="AC34" s="300"/>
      <c r="AD34" s="303"/>
    </row>
    <row r="35" spans="1:30" ht="15" customHeight="1" hidden="1">
      <c r="A35" s="232"/>
      <c r="B35" s="235"/>
      <c r="C35" s="24"/>
      <c r="D35" s="176"/>
      <c r="E35" s="316"/>
      <c r="F35" s="306"/>
      <c r="G35" s="306"/>
      <c r="H35" s="306"/>
      <c r="I35" s="306"/>
      <c r="J35" s="312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9"/>
      <c r="AA35" s="300"/>
      <c r="AB35" s="300"/>
      <c r="AC35" s="300"/>
      <c r="AD35" s="303"/>
    </row>
    <row r="36" spans="1:30" ht="15" customHeight="1" hidden="1">
      <c r="A36" s="232"/>
      <c r="B36" s="235"/>
      <c r="C36" s="25"/>
      <c r="D36" s="181"/>
      <c r="E36" s="316"/>
      <c r="F36" s="306"/>
      <c r="G36" s="306"/>
      <c r="H36" s="306"/>
      <c r="I36" s="306"/>
      <c r="J36" s="312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9"/>
      <c r="AA36" s="300"/>
      <c r="AB36" s="300"/>
      <c r="AC36" s="300"/>
      <c r="AD36" s="303"/>
    </row>
    <row r="37" spans="1:30" ht="15" customHeight="1" hidden="1">
      <c r="A37" s="232"/>
      <c r="B37" s="235"/>
      <c r="C37" s="24"/>
      <c r="D37" s="182"/>
      <c r="E37" s="316"/>
      <c r="F37" s="306"/>
      <c r="G37" s="306"/>
      <c r="H37" s="306"/>
      <c r="I37" s="306"/>
      <c r="J37" s="312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9"/>
      <c r="AA37" s="300"/>
      <c r="AB37" s="300"/>
      <c r="AC37" s="300"/>
      <c r="AD37" s="303"/>
    </row>
    <row r="38" spans="1:30" ht="15" customHeight="1" hidden="1">
      <c r="A38" s="232"/>
      <c r="B38" s="235"/>
      <c r="C38" s="24"/>
      <c r="D38" s="177"/>
      <c r="E38" s="316"/>
      <c r="F38" s="306"/>
      <c r="G38" s="306"/>
      <c r="H38" s="306"/>
      <c r="I38" s="306"/>
      <c r="J38" s="312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9"/>
      <c r="AA38" s="300"/>
      <c r="AB38" s="300"/>
      <c r="AC38" s="300"/>
      <c r="AD38" s="303"/>
    </row>
    <row r="39" spans="1:30" ht="15" customHeight="1" hidden="1" thickBot="1">
      <c r="A39" s="233"/>
      <c r="B39" s="236"/>
      <c r="C39" s="26"/>
      <c r="D39" s="178"/>
      <c r="E39" s="317"/>
      <c r="F39" s="307"/>
      <c r="G39" s="307"/>
      <c r="H39" s="307"/>
      <c r="I39" s="307"/>
      <c r="J39" s="313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10"/>
      <c r="AA39" s="301"/>
      <c r="AB39" s="301"/>
      <c r="AC39" s="301"/>
      <c r="AD39" s="304"/>
    </row>
    <row r="40" spans="1:30" ht="25.5" customHeight="1" hidden="1">
      <c r="A40" s="314"/>
      <c r="B40" s="234"/>
      <c r="C40" s="23"/>
      <c r="D40" s="186"/>
      <c r="E40" s="315"/>
      <c r="F40" s="305"/>
      <c r="G40" s="305"/>
      <c r="H40" s="305"/>
      <c r="I40" s="305"/>
      <c r="J40" s="311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8"/>
      <c r="AA40" s="299"/>
      <c r="AB40" s="299"/>
      <c r="AC40" s="299"/>
      <c r="AD40" s="302"/>
    </row>
    <row r="41" spans="1:30" ht="24" customHeight="1" hidden="1">
      <c r="A41" s="232"/>
      <c r="B41" s="235"/>
      <c r="C41" s="61"/>
      <c r="D41" s="179"/>
      <c r="E41" s="316"/>
      <c r="F41" s="306"/>
      <c r="G41" s="306"/>
      <c r="H41" s="306"/>
      <c r="I41" s="306"/>
      <c r="J41" s="312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9"/>
      <c r="AA41" s="300"/>
      <c r="AB41" s="300"/>
      <c r="AC41" s="300"/>
      <c r="AD41" s="303"/>
    </row>
    <row r="42" spans="1:30" ht="27" customHeight="1" hidden="1">
      <c r="A42" s="232"/>
      <c r="B42" s="235"/>
      <c r="C42" s="25"/>
      <c r="D42" s="180"/>
      <c r="E42" s="316"/>
      <c r="F42" s="306"/>
      <c r="G42" s="306"/>
      <c r="H42" s="306"/>
      <c r="I42" s="306"/>
      <c r="J42" s="312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9"/>
      <c r="AA42" s="300"/>
      <c r="AB42" s="300"/>
      <c r="AC42" s="300"/>
      <c r="AD42" s="303"/>
    </row>
    <row r="43" spans="1:30" ht="15" customHeight="1" hidden="1">
      <c r="A43" s="232"/>
      <c r="B43" s="235"/>
      <c r="C43" s="24"/>
      <c r="D43" s="176"/>
      <c r="E43" s="316"/>
      <c r="F43" s="306"/>
      <c r="G43" s="306"/>
      <c r="H43" s="306"/>
      <c r="I43" s="306"/>
      <c r="J43" s="312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9"/>
      <c r="AA43" s="300"/>
      <c r="AB43" s="300"/>
      <c r="AC43" s="300"/>
      <c r="AD43" s="303"/>
    </row>
    <row r="44" spans="1:30" ht="15" customHeight="1" hidden="1">
      <c r="A44" s="232"/>
      <c r="B44" s="235"/>
      <c r="C44" s="25"/>
      <c r="D44" s="181"/>
      <c r="E44" s="316"/>
      <c r="F44" s="306"/>
      <c r="G44" s="306"/>
      <c r="H44" s="306"/>
      <c r="I44" s="306"/>
      <c r="J44" s="312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9"/>
      <c r="AA44" s="300"/>
      <c r="AB44" s="300"/>
      <c r="AC44" s="300"/>
      <c r="AD44" s="303"/>
    </row>
    <row r="45" spans="1:30" ht="15" customHeight="1" hidden="1">
      <c r="A45" s="232"/>
      <c r="B45" s="235"/>
      <c r="C45" s="24"/>
      <c r="D45" s="182"/>
      <c r="E45" s="316"/>
      <c r="F45" s="306"/>
      <c r="G45" s="306"/>
      <c r="H45" s="306"/>
      <c r="I45" s="306"/>
      <c r="J45" s="312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9"/>
      <c r="AA45" s="300"/>
      <c r="AB45" s="300"/>
      <c r="AC45" s="300"/>
      <c r="AD45" s="303"/>
    </row>
    <row r="46" spans="1:30" ht="15" customHeight="1" hidden="1">
      <c r="A46" s="232"/>
      <c r="B46" s="235"/>
      <c r="C46" s="24"/>
      <c r="D46" s="177"/>
      <c r="E46" s="316"/>
      <c r="F46" s="306"/>
      <c r="G46" s="306"/>
      <c r="H46" s="306"/>
      <c r="I46" s="306"/>
      <c r="J46" s="312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9"/>
      <c r="AA46" s="300"/>
      <c r="AB46" s="300"/>
      <c r="AC46" s="300"/>
      <c r="AD46" s="303"/>
    </row>
    <row r="47" spans="1:30" ht="15" customHeight="1" hidden="1" thickBot="1">
      <c r="A47" s="233"/>
      <c r="B47" s="236"/>
      <c r="C47" s="26"/>
      <c r="D47" s="178"/>
      <c r="E47" s="317"/>
      <c r="F47" s="307"/>
      <c r="G47" s="307"/>
      <c r="H47" s="307"/>
      <c r="I47" s="307"/>
      <c r="J47" s="313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10"/>
      <c r="AA47" s="301"/>
      <c r="AB47" s="301"/>
      <c r="AC47" s="301"/>
      <c r="AD47" s="304"/>
    </row>
    <row r="48" spans="1:30" s="4" customFormat="1" ht="10.5" customHeight="1" thickBot="1">
      <c r="A48" s="216"/>
      <c r="B48" s="217"/>
      <c r="C48" s="223"/>
      <c r="D48" s="218"/>
      <c r="E48" s="219"/>
      <c r="F48" s="219"/>
      <c r="G48" s="219"/>
      <c r="H48" s="220"/>
      <c r="I48" s="220"/>
      <c r="J48" s="220"/>
      <c r="K48" s="220"/>
      <c r="L48" s="220"/>
      <c r="M48" s="220"/>
      <c r="N48" s="220"/>
      <c r="O48" s="220"/>
      <c r="P48" s="220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21"/>
      <c r="AD48" s="222"/>
    </row>
    <row r="49" spans="1:30" s="65" customFormat="1" ht="15.75" thickBot="1">
      <c r="A49" s="88">
        <v>1</v>
      </c>
      <c r="B49" s="98"/>
      <c r="C49" s="89" t="s">
        <v>92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4" t="s">
        <v>31</v>
      </c>
      <c r="B50" s="234" t="s">
        <v>250</v>
      </c>
      <c r="C50" s="23" t="s">
        <v>40</v>
      </c>
      <c r="D50" s="186" t="s">
        <v>253</v>
      </c>
      <c r="E50" s="315">
        <v>0</v>
      </c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11"/>
      <c r="T50" s="305"/>
      <c r="U50" s="305"/>
      <c r="V50" s="305"/>
      <c r="W50" s="305"/>
      <c r="X50" s="305"/>
      <c r="Y50" s="305"/>
      <c r="Z50" s="308"/>
      <c r="AA50" s="299"/>
      <c r="AB50" s="299"/>
      <c r="AC50" s="299"/>
      <c r="AD50" s="302">
        <f>E50+F50+H50+J50+L50+N50+P50+R50+T50+V50+X50+Z50+AB50-G50-I50-K50-M50-O50-Q50-S50-U50-W50-Y50-AA50-AC50</f>
        <v>0</v>
      </c>
    </row>
    <row r="51" spans="1:30" ht="23.25" hidden="1" thickBot="1">
      <c r="A51" s="232"/>
      <c r="B51" s="235"/>
      <c r="C51" s="61" t="s">
        <v>63</v>
      </c>
      <c r="D51" s="179" t="s">
        <v>251</v>
      </c>
      <c r="E51" s="31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12"/>
      <c r="T51" s="306"/>
      <c r="U51" s="306"/>
      <c r="V51" s="306"/>
      <c r="W51" s="306"/>
      <c r="X51" s="306"/>
      <c r="Y51" s="306"/>
      <c r="Z51" s="309"/>
      <c r="AA51" s="300"/>
      <c r="AB51" s="300"/>
      <c r="AC51" s="300"/>
      <c r="AD51" s="303"/>
    </row>
    <row r="52" spans="1:30" ht="23.25" hidden="1" thickBot="1">
      <c r="A52" s="232"/>
      <c r="B52" s="235"/>
      <c r="C52" s="25" t="s">
        <v>64</v>
      </c>
      <c r="D52" s="180" t="s">
        <v>252</v>
      </c>
      <c r="E52" s="31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12"/>
      <c r="T52" s="306"/>
      <c r="U52" s="306"/>
      <c r="V52" s="306"/>
      <c r="W52" s="306"/>
      <c r="X52" s="306"/>
      <c r="Y52" s="306"/>
      <c r="Z52" s="309"/>
      <c r="AA52" s="300"/>
      <c r="AB52" s="300"/>
      <c r="AC52" s="300"/>
      <c r="AD52" s="303"/>
    </row>
    <row r="53" spans="1:30" ht="13.5" hidden="1" thickBot="1">
      <c r="A53" s="232"/>
      <c r="B53" s="235"/>
      <c r="C53" s="24" t="s">
        <v>38</v>
      </c>
      <c r="D53" s="176">
        <v>2889000</v>
      </c>
      <c r="E53" s="31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12"/>
      <c r="T53" s="306"/>
      <c r="U53" s="306"/>
      <c r="V53" s="306"/>
      <c r="W53" s="306"/>
      <c r="X53" s="306"/>
      <c r="Y53" s="306"/>
      <c r="Z53" s="309"/>
      <c r="AA53" s="300"/>
      <c r="AB53" s="300"/>
      <c r="AC53" s="300"/>
      <c r="AD53" s="303"/>
    </row>
    <row r="54" spans="1:30" ht="13.5" hidden="1" thickBot="1">
      <c r="A54" s="232"/>
      <c r="B54" s="235"/>
      <c r="C54" s="25" t="s">
        <v>39</v>
      </c>
      <c r="D54" s="181">
        <v>44153</v>
      </c>
      <c r="E54" s="31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12"/>
      <c r="T54" s="306"/>
      <c r="U54" s="306"/>
      <c r="V54" s="306"/>
      <c r="W54" s="306"/>
      <c r="X54" s="306"/>
      <c r="Y54" s="306"/>
      <c r="Z54" s="309"/>
      <c r="AA54" s="300"/>
      <c r="AB54" s="300"/>
      <c r="AC54" s="300"/>
      <c r="AD54" s="303"/>
    </row>
    <row r="55" spans="1:30" ht="13.5" hidden="1" thickBot="1">
      <c r="A55" s="232"/>
      <c r="B55" s="235"/>
      <c r="C55" s="62" t="s">
        <v>1</v>
      </c>
      <c r="D55" s="182">
        <v>0.01</v>
      </c>
      <c r="E55" s="31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12"/>
      <c r="T55" s="306"/>
      <c r="U55" s="306"/>
      <c r="V55" s="306"/>
      <c r="W55" s="306"/>
      <c r="X55" s="306"/>
      <c r="Y55" s="306"/>
      <c r="Z55" s="309"/>
      <c r="AA55" s="300"/>
      <c r="AB55" s="300"/>
      <c r="AC55" s="300"/>
      <c r="AD55" s="303"/>
    </row>
    <row r="56" spans="1:30" ht="13.5" hidden="1" thickBot="1">
      <c r="A56" s="232"/>
      <c r="B56" s="235"/>
      <c r="C56" s="62" t="s">
        <v>41</v>
      </c>
      <c r="D56" s="177"/>
      <c r="E56" s="31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12"/>
      <c r="T56" s="306"/>
      <c r="U56" s="306"/>
      <c r="V56" s="306"/>
      <c r="W56" s="306"/>
      <c r="X56" s="306"/>
      <c r="Y56" s="306"/>
      <c r="Z56" s="309"/>
      <c r="AA56" s="300"/>
      <c r="AB56" s="300"/>
      <c r="AC56" s="300"/>
      <c r="AD56" s="303"/>
    </row>
    <row r="57" spans="1:30" ht="13.5" hidden="1" thickBot="1">
      <c r="A57" s="233"/>
      <c r="B57" s="236"/>
      <c r="C57" s="63"/>
      <c r="D57" s="178"/>
      <c r="E57" s="31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13"/>
      <c r="T57" s="307"/>
      <c r="U57" s="307"/>
      <c r="V57" s="307"/>
      <c r="W57" s="307"/>
      <c r="X57" s="307"/>
      <c r="Y57" s="307"/>
      <c r="Z57" s="310"/>
      <c r="AA57" s="301"/>
      <c r="AB57" s="301"/>
      <c r="AC57" s="301"/>
      <c r="AD57" s="304"/>
    </row>
    <row r="58" spans="1:30" s="34" customFormat="1" ht="15" thickBot="1">
      <c r="A58" s="77"/>
      <c r="B58" s="97"/>
      <c r="C58" s="322" t="s">
        <v>55</v>
      </c>
      <c r="D58" s="323"/>
      <c r="E58" s="189">
        <f aca="true" t="shared" si="0" ref="E58:P58">SUM(E16:E24)</f>
        <v>0</v>
      </c>
      <c r="F58" s="189">
        <f t="shared" si="0"/>
        <v>0</v>
      </c>
      <c r="G58" s="189">
        <f t="shared" si="0"/>
        <v>0</v>
      </c>
      <c r="H58" s="189">
        <f t="shared" si="0"/>
        <v>0</v>
      </c>
      <c r="I58" s="189">
        <f t="shared" si="0"/>
        <v>0</v>
      </c>
      <c r="J58" s="189">
        <f t="shared" si="0"/>
        <v>15000000</v>
      </c>
      <c r="K58" s="189">
        <f t="shared" si="0"/>
        <v>0</v>
      </c>
      <c r="L58" s="189">
        <f t="shared" si="0"/>
        <v>0</v>
      </c>
      <c r="M58" s="189">
        <f t="shared" si="0"/>
        <v>0</v>
      </c>
      <c r="N58" s="189">
        <f t="shared" si="0"/>
        <v>20000000</v>
      </c>
      <c r="O58" s="189">
        <f t="shared" si="0"/>
        <v>0</v>
      </c>
      <c r="P58" s="189">
        <f t="shared" si="0"/>
        <v>0</v>
      </c>
      <c r="Q58" s="189">
        <f>SUM(Q16:Q24)</f>
        <v>35000000</v>
      </c>
      <c r="R58" s="189">
        <f aca="true" t="shared" si="1" ref="R58:AD58">SUM(R16:R24)</f>
        <v>0</v>
      </c>
      <c r="S58" s="189">
        <f t="shared" si="1"/>
        <v>0</v>
      </c>
      <c r="T58" s="189">
        <f t="shared" si="1"/>
        <v>0</v>
      </c>
      <c r="U58" s="189">
        <f t="shared" si="1"/>
        <v>0</v>
      </c>
      <c r="V58" s="189">
        <f t="shared" si="1"/>
        <v>0</v>
      </c>
      <c r="W58" s="189">
        <f t="shared" si="1"/>
        <v>0</v>
      </c>
      <c r="X58" s="189">
        <f t="shared" si="1"/>
        <v>0</v>
      </c>
      <c r="Y58" s="189">
        <f t="shared" si="1"/>
        <v>0</v>
      </c>
      <c r="Z58" s="189">
        <f t="shared" si="1"/>
        <v>0</v>
      </c>
      <c r="AA58" s="189">
        <f t="shared" si="1"/>
        <v>0</v>
      </c>
      <c r="AB58" s="189">
        <f t="shared" si="1"/>
        <v>0</v>
      </c>
      <c r="AC58" s="189">
        <f t="shared" si="1"/>
        <v>0</v>
      </c>
      <c r="AD58" s="189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91</v>
      </c>
      <c r="B60" s="98"/>
      <c r="C60" s="89" t="s">
        <v>102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4" t="s">
        <v>35</v>
      </c>
      <c r="B61" s="270"/>
      <c r="C61" s="23" t="s">
        <v>40</v>
      </c>
      <c r="D61" s="86"/>
      <c r="E61" s="315">
        <v>0</v>
      </c>
      <c r="F61" s="324"/>
      <c r="G61" s="329"/>
      <c r="H61" s="324"/>
      <c r="I61" s="326"/>
      <c r="J61" s="324"/>
      <c r="K61" s="329"/>
      <c r="L61" s="324"/>
      <c r="M61" s="329"/>
      <c r="N61" s="324"/>
      <c r="O61" s="320"/>
      <c r="P61" s="324"/>
      <c r="Q61" s="324"/>
      <c r="R61" s="324"/>
      <c r="S61" s="324"/>
      <c r="T61" s="324"/>
      <c r="U61" s="326"/>
      <c r="V61" s="324"/>
      <c r="W61" s="326"/>
      <c r="X61" s="324"/>
      <c r="Y61" s="324"/>
      <c r="Z61" s="225"/>
      <c r="AA61" s="320"/>
      <c r="AB61" s="225"/>
      <c r="AC61" s="320"/>
      <c r="AD61" s="302">
        <f>E61+F61+H61+J61+L61+N61+P61+R61+T61+V61+X61+Z61+AB61-G61-I61-K61-M61-O61-Q61-S61-U61-W61-Y61-AA61-AC61</f>
        <v>0</v>
      </c>
    </row>
    <row r="62" spans="1:30" ht="12.75">
      <c r="A62" s="232"/>
      <c r="B62" s="235"/>
      <c r="C62" s="61" t="s">
        <v>63</v>
      </c>
      <c r="D62" s="104"/>
      <c r="E62" s="316"/>
      <c r="F62" s="325"/>
      <c r="G62" s="330"/>
      <c r="H62" s="325"/>
      <c r="I62" s="327"/>
      <c r="J62" s="325"/>
      <c r="K62" s="330"/>
      <c r="L62" s="325"/>
      <c r="M62" s="330"/>
      <c r="N62" s="325"/>
      <c r="O62" s="321"/>
      <c r="P62" s="325"/>
      <c r="Q62" s="325"/>
      <c r="R62" s="325"/>
      <c r="S62" s="325"/>
      <c r="T62" s="325"/>
      <c r="U62" s="327"/>
      <c r="V62" s="325"/>
      <c r="W62" s="327"/>
      <c r="X62" s="325"/>
      <c r="Y62" s="325"/>
      <c r="Z62" s="226"/>
      <c r="AA62" s="321"/>
      <c r="AB62" s="226"/>
      <c r="AC62" s="321"/>
      <c r="AD62" s="303"/>
    </row>
    <row r="63" spans="1:30" ht="12.75">
      <c r="A63" s="232"/>
      <c r="B63" s="235"/>
      <c r="C63" s="25" t="s">
        <v>64</v>
      </c>
      <c r="D63" s="20"/>
      <c r="E63" s="316"/>
      <c r="F63" s="325"/>
      <c r="G63" s="330"/>
      <c r="H63" s="325"/>
      <c r="I63" s="327"/>
      <c r="J63" s="325"/>
      <c r="K63" s="330"/>
      <c r="L63" s="325"/>
      <c r="M63" s="330"/>
      <c r="N63" s="325"/>
      <c r="O63" s="321"/>
      <c r="P63" s="325"/>
      <c r="Q63" s="325"/>
      <c r="R63" s="325"/>
      <c r="S63" s="325"/>
      <c r="T63" s="325"/>
      <c r="U63" s="327"/>
      <c r="V63" s="325"/>
      <c r="W63" s="327"/>
      <c r="X63" s="325"/>
      <c r="Y63" s="325"/>
      <c r="Z63" s="226"/>
      <c r="AA63" s="321"/>
      <c r="AB63" s="226"/>
      <c r="AC63" s="321"/>
      <c r="AD63" s="303"/>
    </row>
    <row r="64" spans="1:30" ht="12.75">
      <c r="A64" s="232"/>
      <c r="B64" s="235"/>
      <c r="C64" s="24" t="s">
        <v>38</v>
      </c>
      <c r="D64" s="187"/>
      <c r="E64" s="316"/>
      <c r="F64" s="325"/>
      <c r="G64" s="330"/>
      <c r="H64" s="325"/>
      <c r="I64" s="327"/>
      <c r="J64" s="325"/>
      <c r="K64" s="330"/>
      <c r="L64" s="325"/>
      <c r="M64" s="330"/>
      <c r="N64" s="325"/>
      <c r="O64" s="321"/>
      <c r="P64" s="325"/>
      <c r="Q64" s="325"/>
      <c r="R64" s="325"/>
      <c r="S64" s="325"/>
      <c r="T64" s="325"/>
      <c r="U64" s="327"/>
      <c r="V64" s="325"/>
      <c r="W64" s="327"/>
      <c r="X64" s="325"/>
      <c r="Y64" s="325"/>
      <c r="Z64" s="226"/>
      <c r="AA64" s="321"/>
      <c r="AB64" s="226"/>
      <c r="AC64" s="321"/>
      <c r="AD64" s="303"/>
    </row>
    <row r="65" spans="1:30" ht="12.75">
      <c r="A65" s="232"/>
      <c r="B65" s="235"/>
      <c r="C65" s="25" t="s">
        <v>39</v>
      </c>
      <c r="D65" s="188"/>
      <c r="E65" s="316"/>
      <c r="F65" s="325"/>
      <c r="G65" s="330"/>
      <c r="H65" s="325"/>
      <c r="I65" s="327"/>
      <c r="J65" s="325"/>
      <c r="K65" s="330"/>
      <c r="L65" s="325"/>
      <c r="M65" s="330"/>
      <c r="N65" s="325"/>
      <c r="O65" s="321"/>
      <c r="P65" s="325"/>
      <c r="Q65" s="325"/>
      <c r="R65" s="325"/>
      <c r="S65" s="325"/>
      <c r="T65" s="325"/>
      <c r="U65" s="327"/>
      <c r="V65" s="325"/>
      <c r="W65" s="327"/>
      <c r="X65" s="325"/>
      <c r="Y65" s="325"/>
      <c r="Z65" s="226"/>
      <c r="AA65" s="321"/>
      <c r="AB65" s="226"/>
      <c r="AC65" s="321"/>
      <c r="AD65" s="303"/>
    </row>
    <row r="66" spans="1:30" ht="12.75">
      <c r="A66" s="232"/>
      <c r="B66" s="235"/>
      <c r="C66" s="62" t="s">
        <v>1</v>
      </c>
      <c r="D66" s="80"/>
      <c r="E66" s="316"/>
      <c r="F66" s="325"/>
      <c r="G66" s="330"/>
      <c r="H66" s="325"/>
      <c r="I66" s="327"/>
      <c r="J66" s="325"/>
      <c r="K66" s="330"/>
      <c r="L66" s="325"/>
      <c r="M66" s="330"/>
      <c r="N66" s="325"/>
      <c r="O66" s="321"/>
      <c r="P66" s="325"/>
      <c r="Q66" s="325"/>
      <c r="R66" s="325"/>
      <c r="S66" s="325"/>
      <c r="T66" s="325"/>
      <c r="U66" s="327"/>
      <c r="V66" s="325"/>
      <c r="W66" s="327"/>
      <c r="X66" s="325"/>
      <c r="Y66" s="325"/>
      <c r="Z66" s="226"/>
      <c r="AA66" s="321"/>
      <c r="AB66" s="226"/>
      <c r="AC66" s="321"/>
      <c r="AD66" s="303"/>
    </row>
    <row r="67" spans="1:30" ht="12.75">
      <c r="A67" s="232"/>
      <c r="B67" s="235"/>
      <c r="C67" s="62" t="s">
        <v>41</v>
      </c>
      <c r="D67" s="59"/>
      <c r="E67" s="316"/>
      <c r="F67" s="325"/>
      <c r="G67" s="330"/>
      <c r="H67" s="325"/>
      <c r="I67" s="327"/>
      <c r="J67" s="325"/>
      <c r="K67" s="330"/>
      <c r="L67" s="325"/>
      <c r="M67" s="330"/>
      <c r="N67" s="325"/>
      <c r="O67" s="321"/>
      <c r="P67" s="325"/>
      <c r="Q67" s="325"/>
      <c r="R67" s="325"/>
      <c r="S67" s="325"/>
      <c r="T67" s="325"/>
      <c r="U67" s="327"/>
      <c r="V67" s="325"/>
      <c r="W67" s="327"/>
      <c r="X67" s="325"/>
      <c r="Y67" s="325"/>
      <c r="Z67" s="226"/>
      <c r="AA67" s="321"/>
      <c r="AB67" s="226"/>
      <c r="AC67" s="321"/>
      <c r="AD67" s="303"/>
    </row>
    <row r="68" spans="1:30" ht="13.5" thickBot="1">
      <c r="A68" s="232"/>
      <c r="B68" s="236"/>
      <c r="C68" s="66"/>
      <c r="D68" s="22"/>
      <c r="E68" s="317"/>
      <c r="F68" s="325"/>
      <c r="G68" s="330"/>
      <c r="H68" s="325"/>
      <c r="I68" s="327"/>
      <c r="J68" s="325"/>
      <c r="K68" s="330"/>
      <c r="L68" s="325"/>
      <c r="M68" s="330"/>
      <c r="N68" s="325"/>
      <c r="O68" s="328"/>
      <c r="P68" s="325"/>
      <c r="Q68" s="325"/>
      <c r="R68" s="325"/>
      <c r="S68" s="325"/>
      <c r="T68" s="325"/>
      <c r="U68" s="327"/>
      <c r="V68" s="325"/>
      <c r="W68" s="327"/>
      <c r="X68" s="325"/>
      <c r="Y68" s="325"/>
      <c r="Z68" s="226"/>
      <c r="AA68" s="321"/>
      <c r="AB68" s="226"/>
      <c r="AC68" s="321"/>
      <c r="AD68" s="304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9"/>
      <c r="V69" s="73"/>
      <c r="W69" s="209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10"/>
      <c r="V70" s="68"/>
      <c r="W70" s="210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2" t="s">
        <v>56</v>
      </c>
      <c r="D71" s="323"/>
      <c r="E71" s="183">
        <f aca="true" t="shared" si="2" ref="E71:AD71">SUM(E61)</f>
        <v>0</v>
      </c>
      <c r="F71" s="183">
        <f t="shared" si="2"/>
        <v>0</v>
      </c>
      <c r="G71" s="183">
        <f t="shared" si="2"/>
        <v>0</v>
      </c>
      <c r="H71" s="183">
        <f t="shared" si="2"/>
        <v>0</v>
      </c>
      <c r="I71" s="183">
        <f t="shared" si="2"/>
        <v>0</v>
      </c>
      <c r="J71" s="183">
        <f t="shared" si="2"/>
        <v>0</v>
      </c>
      <c r="K71" s="183">
        <f t="shared" si="2"/>
        <v>0</v>
      </c>
      <c r="L71" s="183">
        <f t="shared" si="2"/>
        <v>0</v>
      </c>
      <c r="M71" s="183">
        <f t="shared" si="2"/>
        <v>0</v>
      </c>
      <c r="N71" s="183">
        <f t="shared" si="2"/>
        <v>0</v>
      </c>
      <c r="O71" s="183">
        <f t="shared" si="2"/>
        <v>0</v>
      </c>
      <c r="P71" s="183">
        <f t="shared" si="2"/>
        <v>0</v>
      </c>
      <c r="Q71" s="183">
        <f t="shared" si="2"/>
        <v>0</v>
      </c>
      <c r="R71" s="183">
        <f t="shared" si="2"/>
        <v>0</v>
      </c>
      <c r="S71" s="183">
        <f t="shared" si="2"/>
        <v>0</v>
      </c>
      <c r="T71" s="183">
        <f t="shared" si="2"/>
        <v>0</v>
      </c>
      <c r="U71" s="206">
        <f t="shared" si="2"/>
        <v>0</v>
      </c>
      <c r="V71" s="183">
        <f t="shared" si="2"/>
        <v>0</v>
      </c>
      <c r="W71" s="206">
        <f t="shared" si="2"/>
        <v>0</v>
      </c>
      <c r="X71" s="183">
        <f t="shared" si="2"/>
        <v>0</v>
      </c>
      <c r="Y71" s="183">
        <f t="shared" si="2"/>
        <v>0</v>
      </c>
      <c r="Z71" s="183">
        <f t="shared" si="2"/>
        <v>0</v>
      </c>
      <c r="AA71" s="183">
        <f t="shared" si="2"/>
        <v>0</v>
      </c>
      <c r="AB71" s="183">
        <f t="shared" si="2"/>
        <v>0</v>
      </c>
      <c r="AC71" s="183">
        <f t="shared" si="2"/>
        <v>0</v>
      </c>
      <c r="AD71" s="183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207"/>
      <c r="V72" s="184"/>
      <c r="W72" s="207"/>
      <c r="X72" s="184"/>
      <c r="Y72" s="184"/>
      <c r="Z72" s="184"/>
      <c r="AA72" s="184"/>
      <c r="AB72" s="184"/>
      <c r="AC72" s="184"/>
      <c r="AD72" s="184"/>
    </row>
    <row r="73" spans="1:30" s="46" customFormat="1" ht="15.75" thickBot="1">
      <c r="A73" s="109"/>
      <c r="B73" s="110"/>
      <c r="C73" s="318" t="s">
        <v>103</v>
      </c>
      <c r="D73" s="319"/>
      <c r="E73" s="190">
        <f aca="true" t="shared" si="3" ref="E73:AD73">SUM(E58,E71)</f>
        <v>0</v>
      </c>
      <c r="F73" s="190">
        <f t="shared" si="3"/>
        <v>0</v>
      </c>
      <c r="G73" s="190">
        <f t="shared" si="3"/>
        <v>0</v>
      </c>
      <c r="H73" s="190">
        <f t="shared" si="3"/>
        <v>0</v>
      </c>
      <c r="I73" s="190">
        <f t="shared" si="3"/>
        <v>0</v>
      </c>
      <c r="J73" s="190">
        <f t="shared" si="3"/>
        <v>15000000</v>
      </c>
      <c r="K73" s="190">
        <f t="shared" si="3"/>
        <v>0</v>
      </c>
      <c r="L73" s="190">
        <f t="shared" si="3"/>
        <v>0</v>
      </c>
      <c r="M73" s="190">
        <f t="shared" si="3"/>
        <v>0</v>
      </c>
      <c r="N73" s="190">
        <f t="shared" si="3"/>
        <v>20000000</v>
      </c>
      <c r="O73" s="190">
        <f t="shared" si="3"/>
        <v>0</v>
      </c>
      <c r="P73" s="190">
        <f t="shared" si="3"/>
        <v>0</v>
      </c>
      <c r="Q73" s="190">
        <f t="shared" si="3"/>
        <v>35000000</v>
      </c>
      <c r="R73" s="190">
        <f t="shared" si="3"/>
        <v>0</v>
      </c>
      <c r="S73" s="190">
        <f t="shared" si="3"/>
        <v>0</v>
      </c>
      <c r="T73" s="190">
        <f t="shared" si="3"/>
        <v>0</v>
      </c>
      <c r="U73" s="208">
        <f t="shared" si="3"/>
        <v>0</v>
      </c>
      <c r="V73" s="190">
        <f t="shared" si="3"/>
        <v>0</v>
      </c>
      <c r="W73" s="208">
        <f t="shared" si="3"/>
        <v>0</v>
      </c>
      <c r="X73" s="190">
        <f t="shared" si="3"/>
        <v>0</v>
      </c>
      <c r="Y73" s="190">
        <f t="shared" si="3"/>
        <v>0</v>
      </c>
      <c r="Z73" s="190">
        <f t="shared" si="3"/>
        <v>0</v>
      </c>
      <c r="AA73" s="190">
        <f t="shared" si="3"/>
        <v>0</v>
      </c>
      <c r="AB73" s="190">
        <f t="shared" si="3"/>
        <v>0</v>
      </c>
      <c r="AC73" s="190">
        <f t="shared" si="3"/>
        <v>0</v>
      </c>
      <c r="AD73" s="185">
        <f t="shared" si="3"/>
        <v>0</v>
      </c>
    </row>
    <row r="74" spans="1:30" ht="3.75" customHeight="1" thickBot="1">
      <c r="A74" s="105"/>
      <c r="B74" s="106"/>
      <c r="C74" s="107"/>
      <c r="D74" s="108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93</v>
      </c>
      <c r="L77" s="93"/>
      <c r="M77" s="93"/>
      <c r="N77" s="214" t="s">
        <v>307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94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  <mergeCell ref="O40:O47"/>
    <mergeCell ref="P40:P47"/>
    <mergeCell ref="Q40:Q47"/>
    <mergeCell ref="R40:R47"/>
    <mergeCell ref="S40:S47"/>
    <mergeCell ref="T40:T47"/>
    <mergeCell ref="I40:I47"/>
    <mergeCell ref="J40:J47"/>
    <mergeCell ref="K40:K47"/>
    <mergeCell ref="L40:L47"/>
    <mergeCell ref="M40:M47"/>
    <mergeCell ref="N40:N47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U32:U39"/>
    <mergeCell ref="V32:V39"/>
    <mergeCell ref="W32:W39"/>
    <mergeCell ref="X32:X39"/>
    <mergeCell ref="Y32:Y39"/>
    <mergeCell ref="Z32:Z39"/>
    <mergeCell ref="O32:O39"/>
    <mergeCell ref="P32:P39"/>
    <mergeCell ref="Q32:Q39"/>
    <mergeCell ref="R32:R39"/>
    <mergeCell ref="S32:S39"/>
    <mergeCell ref="T32:T39"/>
    <mergeCell ref="I32:I39"/>
    <mergeCell ref="J32:J39"/>
    <mergeCell ref="K32:K39"/>
    <mergeCell ref="L32:L39"/>
    <mergeCell ref="M32:M39"/>
    <mergeCell ref="N32:N39"/>
    <mergeCell ref="A32:A39"/>
    <mergeCell ref="B32:B39"/>
    <mergeCell ref="E32:E39"/>
    <mergeCell ref="F32:F39"/>
    <mergeCell ref="G32:G39"/>
    <mergeCell ref="H32:H39"/>
    <mergeCell ref="R5:S5"/>
    <mergeCell ref="T5:U5"/>
    <mergeCell ref="A5:A6"/>
    <mergeCell ref="B5:B6"/>
    <mergeCell ref="C5:D6"/>
    <mergeCell ref="E5:E6"/>
    <mergeCell ref="F5:G5"/>
    <mergeCell ref="H5:I5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A50:A57"/>
    <mergeCell ref="B50:B57"/>
    <mergeCell ref="E50:E57"/>
    <mergeCell ref="F50:F57"/>
    <mergeCell ref="G50:G57"/>
    <mergeCell ref="H50:H57"/>
    <mergeCell ref="I50:I57"/>
    <mergeCell ref="J50:J57"/>
    <mergeCell ref="K50:K57"/>
    <mergeCell ref="L50:L57"/>
    <mergeCell ref="M50:M57"/>
    <mergeCell ref="N50:N57"/>
    <mergeCell ref="O50:O57"/>
    <mergeCell ref="P50:P57"/>
    <mergeCell ref="Q50:Q57"/>
    <mergeCell ref="R50:R57"/>
    <mergeCell ref="S50:S57"/>
    <mergeCell ref="T50:T57"/>
    <mergeCell ref="U50:U57"/>
    <mergeCell ref="V50:V57"/>
    <mergeCell ref="W50:W57"/>
    <mergeCell ref="X50:X57"/>
    <mergeCell ref="Y50:Y57"/>
    <mergeCell ref="Z50:Z57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A8:A15"/>
    <mergeCell ref="B8:B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I16:I23"/>
    <mergeCell ref="J16:J23"/>
    <mergeCell ref="K16:K23"/>
    <mergeCell ref="L16:L23"/>
    <mergeCell ref="M16:M23"/>
    <mergeCell ref="N16:N23"/>
    <mergeCell ref="O16:O23"/>
    <mergeCell ref="P16:P23"/>
    <mergeCell ref="Q16:Q23"/>
    <mergeCell ref="R16:R23"/>
    <mergeCell ref="S16:S23"/>
    <mergeCell ref="T16:T23"/>
    <mergeCell ref="U16:U23"/>
    <mergeCell ref="V16:V23"/>
    <mergeCell ref="W16:W23"/>
    <mergeCell ref="X16:X23"/>
    <mergeCell ref="Y16:Y23"/>
    <mergeCell ref="Z16:Z23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2021-08-02T06:19:57Z</cp:lastPrinted>
  <dcterms:created xsi:type="dcterms:W3CDTF">2003-10-24T07:58:04Z</dcterms:created>
  <dcterms:modified xsi:type="dcterms:W3CDTF">2023-03-27T09:52:07Z</dcterms:modified>
  <cp:category/>
  <cp:version/>
  <cp:contentType/>
  <cp:contentStatus/>
</cp:coreProperties>
</file>